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Default Extension="vml" ContentType="application/vnd.openxmlformats-officedocument.vmlDrawing"/>
  <Default Extension="docx" ContentType="application/vnd.openxmlformats-officedocument.wordprocessingml.document"/>
  <Default Extension="bin" ContentType="application/vnd.ms-office.vbaProject"/>
  <Default Extension="png" ContentType="image/p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11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omments8.xml" ContentType="application/vnd.openxmlformats-officedocument.spreadsheetml.comments+xml"/>
  <Override PartName="/xl/charts/chart1.xml" ContentType="application/vnd.openxmlformats-officedocument.drawingml.chart+xml"/>
  <Override PartName="/xl/drawings/drawing13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10.xml" ContentType="application/vnd.openxmlformats-officedocument.spreadsheetml.comments+xml"/>
  <Override PartName="/xl/drawings/drawing15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omments11.xml" ContentType="application/vnd.openxmlformats-officedocument.spreadsheetml.comments+xml"/>
  <Override PartName="/xl/drawings/drawing16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17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 codeName="{8C4F1C90-05EB-6A55-5F09-09C24B55AC0B}"/>
  <workbookPr codeName="DieseArbeitsmappe" autoCompressPictures="0"/>
  <bookViews>
    <workbookView xWindow="0" yWindow="0" windowWidth="25600" windowHeight="16060" tabRatio="868" activeTab="5"/>
  </bookViews>
  <sheets>
    <sheet name="Startseite" sheetId="16" r:id="rId1"/>
    <sheet name="Anleitung" sheetId="1" r:id="rId2"/>
    <sheet name="Ausdruck" sheetId="18" r:id="rId3"/>
    <sheet name="Futterberechnung" sheetId="2" r:id="rId4"/>
    <sheet name="Futtermittel" sheetId="3" r:id="rId5"/>
    <sheet name="Preiswürdigkeit FUMI" sheetId="4" r:id="rId6"/>
    <sheet name="Ergänzungsfutter" sheetId="5" r:id="rId7"/>
    <sheet name="Mineralfutter" sheetId="17" r:id="rId8"/>
    <sheet name="Orientierungswerte" sheetId="6" r:id="rId9"/>
    <sheet name="Höchstgehalte" sheetId="7" r:id="rId10"/>
    <sheet name="Futterkurve Mast" sheetId="8" r:id="rId11"/>
    <sheet name="Futterkurve Sauen" sheetId="9" r:id="rId12"/>
    <sheet name="Futterkurve Ferkel" sheetId="10" r:id="rId13"/>
    <sheet name="Futterkurve Jungsauen" sheetId="11" r:id="rId14"/>
    <sheet name="Futterkurve Eber" sheetId="15" r:id="rId15"/>
    <sheet name="Vit. &amp; Spurenel." sheetId="19" r:id="rId16"/>
    <sheet name="XP u. ME-Rechner Min.fu." sheetId="13" r:id="rId17"/>
    <sheet name="D" sheetId="14" r:id="rId18"/>
  </sheets>
  <definedNames>
    <definedName name="_xlnm._FilterDatabase" localSheetId="4">Futtermittel!$A$7:$EM$7</definedName>
    <definedName name="_xlnm.Print_Area" localSheetId="1">Anleitung!$B$4:$L$72</definedName>
    <definedName name="_xlnm.Print_Area" localSheetId="2">Ausdruck!$A$1:$M$53</definedName>
    <definedName name="_xlnm.Print_Area" localSheetId="17">D!$A$1:$I$148</definedName>
    <definedName name="_xlnm.Print_Area" localSheetId="6">Ergänzungsfutter!$C$4:$R$39</definedName>
    <definedName name="_xlnm.Print_Area" localSheetId="3">Futterberechnung!$B$1:$AC$67</definedName>
    <definedName name="_xlnm.Print_Area" localSheetId="14">'Futterkurve Eber'!$B$4:$Q$27</definedName>
    <definedName name="_xlnm.Print_Area" localSheetId="12">'Futterkurve Ferkel'!$B$4:$P$32</definedName>
    <definedName name="_xlnm.Print_Area" localSheetId="13">'Futterkurve Jungsauen'!$B$5:$P$27</definedName>
    <definedName name="_xlnm.Print_Area" localSheetId="10">'Futterkurve Mast'!$A$9:$Y$134</definedName>
    <definedName name="_xlnm.Print_Area" localSheetId="11">'Futterkurve Sauen'!$B$4:$K$52</definedName>
    <definedName name="_xlnm.Print_Area" localSheetId="4">Futtermittel!$B$4:$AB$175</definedName>
    <definedName name="_xlnm.Print_Area" localSheetId="9">Höchstgehalte!$A$4:$V$64</definedName>
    <definedName name="_xlnm.Print_Area" localSheetId="7">Mineralfutter!$C$4:$R$39</definedName>
    <definedName name="_xlnm.Print_Area" localSheetId="8">Orientierungswerte!$A$4:$AF$121</definedName>
    <definedName name="_xlnm.Print_Area" localSheetId="5">'Preiswürdigkeit FUMI'!$B$1:$N$196</definedName>
    <definedName name="_xlnm.Print_Area" localSheetId="0">Startseite!$A$1:$O$28</definedName>
    <definedName name="_xlnm.Print_Area" localSheetId="15">'Vit. &amp; Spurenel.'!$A$4:$J$161</definedName>
    <definedName name="_xlnm.Print_Area" localSheetId="16">'XP u. ME-Rechner Min.fu.'!$A$1:$H$35</definedName>
    <definedName name="_xlnm.Print_Titles" localSheetId="17">D!$1:$1</definedName>
    <definedName name="_xlnm.Print_Titles" localSheetId="6">Ergänzungsfutter!$7:$10</definedName>
    <definedName name="_xlnm.Print_Titles" localSheetId="3">Futterberechnung!$4:$8</definedName>
    <definedName name="_xlnm.Print_Titles" localSheetId="4">Futtermittel!$B:$B,Futtermittel!$4:$6</definedName>
    <definedName name="_xlnm.Print_Titles" localSheetId="7">Mineralfutter!$7:$10</definedName>
    <definedName name="_xlnm.Print_Titles" localSheetId="8">Orientierungswerte!$4:$11</definedName>
    <definedName name="_xlnm.Print_Titles" localSheetId="5">'Preiswürdigkeit FUMI'!$13:$15</definedName>
    <definedName name="Ergänzungsfutter">Ergänzungsfutter!$A$10:$A$26</definedName>
    <definedName name="Ergänzungsfutter_neu" localSheetId="15">Ergänzungsfutter!$D$11:$D$26</definedName>
    <definedName name="Ergänzungsfutter_neu">Ergänzungsfutter!$D$11:$D$26</definedName>
    <definedName name="Futtermittel" localSheetId="15">Futtermittel!$A$6:$A$268</definedName>
    <definedName name="Futtermittel">Futtermittel!$A$6:$A$268</definedName>
    <definedName name="kl">Mineralfutter!$D$25:$D$35</definedName>
    <definedName name="Mineralfutter" localSheetId="7">Mineralfutter!$D$25:$D$35</definedName>
    <definedName name="Mineralfutter">Mineralfutter!$A$11:$A$798</definedName>
    <definedName name="Mineralfutter_neu" localSheetId="15">Mineralfutter!$D$11:$D$35</definedName>
    <definedName name="Mineralfutter_neu">Mineralfutter!$D$11:$D$35</definedName>
    <definedName name="OLE_LINK1" localSheetId="1">Anleitung!$C$9</definedName>
    <definedName name="OLE_LINK1" localSheetId="2">Ausdruck!$B$14</definedName>
    <definedName name="OLE_LINK21" localSheetId="1">Anleitung!$C$64</definedName>
    <definedName name="OLE_LINK25" localSheetId="1">Anleitung!$C$63</definedName>
    <definedName name="OLE_LINK31" localSheetId="1">Anleitung!$C$8</definedName>
    <definedName name="OLE_LINK32" localSheetId="1">Anleitung!#REF!</definedName>
    <definedName name="OLE_LINK7" localSheetId="1">Anleitung!$C$65</definedName>
    <definedName name="Orientierungswerte" localSheetId="15">Orientierungswerte!$C$10:$C$117</definedName>
    <definedName name="Orientierungswerte">Orientierungswerte!$C$10:$C$117</definedName>
    <definedName name="_xlnm.Criteria" localSheetId="4">Futtermittel!$A$8:$E$382</definedName>
    <definedName name="Z_459F3284_99E1_4A46_80B6_CF44B0CB392E_.wvu.Cols" localSheetId="17" hidden="1">D!$J:$J</definedName>
    <definedName name="Z_459F3284_99E1_4A46_80B6_CF44B0CB392E_.wvu.Cols" localSheetId="6" hidden="1">Ergänzungsfutter!$A:$A</definedName>
    <definedName name="Z_459F3284_99E1_4A46_80B6_CF44B0CB392E_.wvu.Cols" localSheetId="4" hidden="1">Futtermittel!$A:$A</definedName>
    <definedName name="Z_459F3284_99E1_4A46_80B6_CF44B0CB392E_.wvu.Cols" localSheetId="7" hidden="1">Mineralfutter!$A:$A</definedName>
    <definedName name="Z_459F3284_99E1_4A46_80B6_CF44B0CB392E_.wvu.Cols" localSheetId="8" hidden="1">Orientierungswerte!$A:$A</definedName>
    <definedName name="Z_459F3284_99E1_4A46_80B6_CF44B0CB392E_.wvu.FilterData" localSheetId="4" hidden="1">Futtermittel!$B$1:$EJ$1</definedName>
    <definedName name="Z_459F3284_99E1_4A46_80B6_CF44B0CB392E_.wvu.PrintArea" localSheetId="17" hidden="1">D!$A$1:$I$148</definedName>
    <definedName name="Z_459F3284_99E1_4A46_80B6_CF44B0CB392E_.wvu.PrintArea" localSheetId="6" hidden="1">Ergänzungsfutter!$C$4:$R$39</definedName>
    <definedName name="Z_459F3284_99E1_4A46_80B6_CF44B0CB392E_.wvu.PrintArea" localSheetId="3" hidden="1">Futterberechnung!$B$4:$Z$41</definedName>
    <definedName name="Z_459F3284_99E1_4A46_80B6_CF44B0CB392E_.wvu.PrintArea" localSheetId="12" hidden="1">'Futterkurve Ferkel'!$B$4:$P$32</definedName>
    <definedName name="Z_459F3284_99E1_4A46_80B6_CF44B0CB392E_.wvu.PrintArea" localSheetId="13" hidden="1">'Futterkurve Jungsauen'!$B$13:$P$27</definedName>
    <definedName name="Z_459F3284_99E1_4A46_80B6_CF44B0CB392E_.wvu.PrintArea" localSheetId="10" hidden="1">'Futterkurve Mast'!$B$9:$Y$120</definedName>
    <definedName name="Z_459F3284_99E1_4A46_80B6_CF44B0CB392E_.wvu.PrintArea" localSheetId="11" hidden="1">'Futterkurve Sauen'!$B$4:$K$49</definedName>
    <definedName name="Z_459F3284_99E1_4A46_80B6_CF44B0CB392E_.wvu.PrintArea" localSheetId="4" hidden="1">Futtermittel!$A$4:$AB$174</definedName>
    <definedName name="Z_459F3284_99E1_4A46_80B6_CF44B0CB392E_.wvu.PrintArea" localSheetId="9" hidden="1">Höchstgehalte!$A$4:$V$64</definedName>
    <definedName name="Z_459F3284_99E1_4A46_80B6_CF44B0CB392E_.wvu.PrintArea" localSheetId="7" hidden="1">Mineralfutter!$C$4:$R$24</definedName>
    <definedName name="Z_459F3284_99E1_4A46_80B6_CF44B0CB392E_.wvu.PrintArea" localSheetId="8" hidden="1">Orientierungswerte!$B$4:$Z$121</definedName>
    <definedName name="Z_459F3284_99E1_4A46_80B6_CF44B0CB392E_.wvu.PrintArea" localSheetId="5" hidden="1">'Preiswürdigkeit FUMI'!$B$4:$N$168</definedName>
    <definedName name="Z_459F3284_99E1_4A46_80B6_CF44B0CB392E_.wvu.PrintArea" localSheetId="15" hidden="1">'Vit. &amp; Spurenel.'!$B$5:$H$50</definedName>
    <definedName name="Z_459F3284_99E1_4A46_80B6_CF44B0CB392E_.wvu.PrintTitles" localSheetId="17" hidden="1">D!$1:$1</definedName>
    <definedName name="Z_459F3284_99E1_4A46_80B6_CF44B0CB392E_.wvu.PrintTitles" localSheetId="6" hidden="1">Ergänzungsfutter!$7:$10</definedName>
    <definedName name="Z_459F3284_99E1_4A46_80B6_CF44B0CB392E_.wvu.PrintTitles" localSheetId="7" hidden="1">Mineralfutter!$7:$10</definedName>
    <definedName name="Z_459F3284_99E1_4A46_80B6_CF44B0CB392E_.wvu.PrintTitles" localSheetId="5" hidden="1">'Preiswürdigkeit FUMI'!$13:$15</definedName>
    <definedName name="Z_459F3284_99E1_4A46_80B6_CF44B0CB392E_.wvu.Rows" localSheetId="5" hidden="1">'Preiswürdigkeit FUMI'!$101:$103,'Preiswürdigkeit FUMI'!$105:$106,'Preiswürdigkeit FUMI'!$114:$114</definedName>
  </definedNames>
  <calcPr calcId="140001" concurrentCalc="0"/>
  <customWorkbookViews>
    <customWorkbookView name="hollmichel - Persönliche Ansicht" guid="{459F3284-99E1-4A46-80B6-CF44B0CB392E}" mergeInterval="0" personalView="1" maximized="1" xWindow="1" yWindow="1" windowWidth="1280" windowHeight="764" tabRatio="868" activeSheetId="1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9" i="3" l="1"/>
  <c r="F74" i="3"/>
  <c r="F18" i="3"/>
  <c r="F19" i="3"/>
  <c r="F26" i="3"/>
  <c r="F39" i="3"/>
  <c r="F44" i="3"/>
  <c r="F45" i="3"/>
  <c r="F56" i="3"/>
  <c r="F57" i="3"/>
  <c r="H62" i="2"/>
  <c r="G62" i="2"/>
  <c r="W59" i="2"/>
  <c r="W58" i="2"/>
  <c r="W56" i="2"/>
  <c r="W55" i="2"/>
  <c r="W54" i="2"/>
  <c r="W53" i="2"/>
  <c r="W52" i="2"/>
  <c r="W51" i="2"/>
  <c r="W50" i="2"/>
  <c r="V59" i="2"/>
  <c r="V58" i="2"/>
  <c r="V56" i="2"/>
  <c r="V55" i="2"/>
  <c r="V54" i="2"/>
  <c r="V53" i="2"/>
  <c r="V52" i="2"/>
  <c r="V51" i="2"/>
  <c r="V50" i="2"/>
  <c r="X62" i="2"/>
  <c r="X59" i="2"/>
  <c r="X58" i="2"/>
  <c r="X56" i="2"/>
  <c r="X55" i="2"/>
  <c r="X54" i="2"/>
  <c r="X53" i="2"/>
  <c r="X52" i="2"/>
  <c r="X51" i="2"/>
  <c r="X50" i="2"/>
  <c r="AA62" i="2"/>
  <c r="AA59" i="2"/>
  <c r="AA58" i="2"/>
  <c r="AA56" i="2"/>
  <c r="AA55" i="2"/>
  <c r="AA54" i="2"/>
  <c r="AA53" i="2"/>
  <c r="AA52" i="2"/>
  <c r="AA51" i="2"/>
  <c r="AA50" i="2"/>
  <c r="F18" i="17"/>
  <c r="H18" i="17"/>
  <c r="F19" i="17"/>
  <c r="H19" i="17"/>
  <c r="AG15" i="17"/>
  <c r="T15" i="17"/>
  <c r="S15" i="17"/>
  <c r="O15" i="17"/>
  <c r="H15" i="17"/>
  <c r="F15" i="17"/>
  <c r="AH15" i="17"/>
  <c r="C15" i="17"/>
  <c r="A15" i="17"/>
  <c r="T14" i="17"/>
  <c r="S14" i="17"/>
  <c r="Q14" i="17"/>
  <c r="O14" i="17"/>
  <c r="C14" i="17"/>
  <c r="A14" i="17"/>
  <c r="AH16" i="17"/>
  <c r="AG16" i="17"/>
  <c r="O16" i="17"/>
  <c r="H16" i="17"/>
  <c r="F16" i="17"/>
  <c r="AG17" i="17"/>
  <c r="AH17" i="17"/>
  <c r="AG18" i="17"/>
  <c r="AH18" i="17"/>
  <c r="AG19" i="17"/>
  <c r="AH19" i="17"/>
  <c r="E93" i="6"/>
  <c r="F93" i="6"/>
  <c r="I12" i="3"/>
  <c r="K12" i="3"/>
  <c r="I23" i="4"/>
  <c r="C59" i="6"/>
  <c r="A59" i="6"/>
  <c r="C58" i="6"/>
  <c r="A58" i="6"/>
  <c r="H110" i="6"/>
  <c r="J110" i="6"/>
  <c r="E99" i="6"/>
  <c r="F99" i="6"/>
  <c r="C75" i="6"/>
  <c r="A75" i="6"/>
  <c r="C74" i="6"/>
  <c r="A74" i="6"/>
  <c r="C73" i="6"/>
  <c r="C70" i="6"/>
  <c r="A70" i="6"/>
  <c r="C69" i="6"/>
  <c r="A69" i="6"/>
  <c r="C68" i="6"/>
  <c r="A68" i="6"/>
  <c r="C65" i="6"/>
  <c r="A65" i="6"/>
  <c r="C64" i="6"/>
  <c r="A64" i="6"/>
  <c r="C63" i="6"/>
  <c r="A63" i="6"/>
  <c r="C57" i="6"/>
  <c r="A57" i="6"/>
  <c r="C54" i="6"/>
  <c r="A54" i="6"/>
  <c r="C53" i="6"/>
  <c r="A53" i="6"/>
  <c r="C52" i="6"/>
  <c r="A52" i="6"/>
  <c r="C49" i="6"/>
  <c r="A49" i="6"/>
  <c r="C48" i="6"/>
  <c r="A48" i="6"/>
  <c r="C47" i="6"/>
  <c r="A47" i="6"/>
  <c r="C43" i="6"/>
  <c r="A43" i="6"/>
  <c r="C42" i="6"/>
  <c r="A42" i="6"/>
  <c r="C41" i="6"/>
  <c r="C38" i="6"/>
  <c r="A38" i="6"/>
  <c r="C37" i="6"/>
  <c r="A37" i="6"/>
  <c r="C36" i="6"/>
  <c r="A36" i="6"/>
  <c r="C32" i="6"/>
  <c r="A32" i="6"/>
  <c r="C31" i="6"/>
  <c r="A31" i="6"/>
  <c r="C30" i="6"/>
  <c r="A30" i="6"/>
  <c r="D87" i="4"/>
  <c r="AT82" i="3"/>
  <c r="AK17" i="5"/>
  <c r="AK18" i="5"/>
  <c r="AK19" i="5"/>
  <c r="AK20" i="5"/>
  <c r="AK21" i="5"/>
  <c r="AK22" i="5"/>
  <c r="AK23" i="5"/>
  <c r="AK24" i="5"/>
  <c r="AK25" i="5"/>
  <c r="AK26" i="5"/>
  <c r="AK16" i="5"/>
  <c r="D67" i="4"/>
  <c r="D54" i="4"/>
  <c r="D55" i="4"/>
  <c r="AT169" i="3"/>
  <c r="AT168" i="3"/>
  <c r="AT167" i="3"/>
  <c r="AS167" i="3"/>
  <c r="AT165" i="3"/>
  <c r="AT164" i="3"/>
  <c r="AE163" i="3"/>
  <c r="AH163" i="3"/>
  <c r="AT163" i="3"/>
  <c r="AG163" i="3"/>
  <c r="AS163" i="3"/>
  <c r="AT159" i="3"/>
  <c r="AT158" i="3"/>
  <c r="AT157" i="3"/>
  <c r="AS157" i="3"/>
  <c r="AT148" i="3"/>
  <c r="AT147" i="3"/>
  <c r="AT142" i="3"/>
  <c r="AS142" i="3"/>
  <c r="AT143" i="3"/>
  <c r="AT144" i="3"/>
  <c r="AT146" i="3"/>
  <c r="AT141" i="3"/>
  <c r="AT119" i="3"/>
  <c r="AS119" i="3"/>
  <c r="AT120" i="3"/>
  <c r="AS120" i="3"/>
  <c r="AT121" i="3"/>
  <c r="AT122" i="3"/>
  <c r="AT123" i="3"/>
  <c r="AT125" i="3"/>
  <c r="AT126" i="3"/>
  <c r="AT127" i="3"/>
  <c r="AT128" i="3"/>
  <c r="AT129" i="3"/>
  <c r="AT130" i="3"/>
  <c r="AT135" i="3"/>
  <c r="AT136" i="3"/>
  <c r="AT137" i="3"/>
  <c r="AT116" i="3"/>
  <c r="AT115" i="3"/>
  <c r="AS115" i="3"/>
  <c r="AT114" i="3"/>
  <c r="AT113" i="3"/>
  <c r="AT110" i="3"/>
  <c r="AS110" i="3"/>
  <c r="AT105" i="3"/>
  <c r="AS105" i="3"/>
  <c r="AT106" i="3"/>
  <c r="AT109" i="3"/>
  <c r="AS109" i="3"/>
  <c r="AT104" i="3"/>
  <c r="AS104" i="3"/>
  <c r="AT102" i="3"/>
  <c r="AT100" i="3"/>
  <c r="AT99" i="3"/>
  <c r="AT101" i="3"/>
  <c r="AT98" i="3"/>
  <c r="AT96" i="3"/>
  <c r="AT97" i="3"/>
  <c r="AT93" i="3"/>
  <c r="AT89" i="3"/>
  <c r="AS89" i="3"/>
  <c r="AT90" i="3"/>
  <c r="AT91" i="3"/>
  <c r="AT87" i="3"/>
  <c r="AS87" i="3"/>
  <c r="AT81" i="3"/>
  <c r="AT83" i="3"/>
  <c r="AT86" i="3"/>
  <c r="AT84" i="3"/>
  <c r="AT80" i="3"/>
  <c r="AT79" i="3"/>
  <c r="AT77" i="3"/>
  <c r="AT74" i="3"/>
  <c r="AT73" i="3"/>
  <c r="AT69" i="3"/>
  <c r="AT68" i="3"/>
  <c r="AT67" i="3"/>
  <c r="AS67" i="3"/>
  <c r="AT65" i="3"/>
  <c r="AT66" i="3"/>
  <c r="AT64" i="3"/>
  <c r="AH59" i="3"/>
  <c r="AT59" i="3"/>
  <c r="AS59" i="3"/>
  <c r="AT62" i="3"/>
  <c r="AT57" i="3"/>
  <c r="AT56" i="3"/>
  <c r="AT53" i="3"/>
  <c r="AT45" i="3"/>
  <c r="AT44" i="3"/>
  <c r="AT43" i="3"/>
  <c r="AT39" i="3"/>
  <c r="AT35" i="3"/>
  <c r="AT33" i="3"/>
  <c r="AT34" i="3"/>
  <c r="AS34" i="3"/>
  <c r="AT32" i="3"/>
  <c r="AS32" i="3"/>
  <c r="AT31" i="3"/>
  <c r="AT29" i="3"/>
  <c r="AT28" i="3"/>
  <c r="AT26" i="3"/>
  <c r="AT21" i="3"/>
  <c r="AS21" i="3"/>
  <c r="AT22" i="3"/>
  <c r="AS22" i="3"/>
  <c r="AT23" i="3"/>
  <c r="AT24" i="3"/>
  <c r="AT25" i="3"/>
  <c r="AS25" i="3"/>
  <c r="AT20" i="3"/>
  <c r="AT19" i="3"/>
  <c r="AT18" i="3"/>
  <c r="AT16" i="3"/>
  <c r="AS16" i="3"/>
  <c r="AT15" i="3"/>
  <c r="AT14" i="3"/>
  <c r="AT13" i="3"/>
  <c r="AT9" i="3"/>
  <c r="AT11" i="3"/>
  <c r="AS11" i="3"/>
  <c r="BB160" i="3"/>
  <c r="X164" i="3"/>
  <c r="J164" i="3"/>
  <c r="X116" i="8"/>
  <c r="W116" i="8"/>
  <c r="V116" i="8"/>
  <c r="V114" i="8"/>
  <c r="V117" i="8"/>
  <c r="V112" i="8"/>
  <c r="V119" i="8"/>
  <c r="U116" i="8"/>
  <c r="T116" i="8"/>
  <c r="S116" i="8"/>
  <c r="S114" i="8"/>
  <c r="S117" i="8"/>
  <c r="R116" i="8"/>
  <c r="Q116" i="8"/>
  <c r="P116" i="8"/>
  <c r="O116" i="8"/>
  <c r="N116" i="8"/>
  <c r="M116" i="8"/>
  <c r="L116" i="8"/>
  <c r="L117" i="8"/>
  <c r="K116" i="8"/>
  <c r="K117" i="8"/>
  <c r="J116" i="8"/>
  <c r="J117" i="8"/>
  <c r="I116" i="8"/>
  <c r="I117" i="8"/>
  <c r="H116" i="8"/>
  <c r="H117" i="8"/>
  <c r="G116" i="8"/>
  <c r="G117" i="8"/>
  <c r="F116" i="8"/>
  <c r="F117" i="8"/>
  <c r="F112" i="8"/>
  <c r="F119" i="8"/>
  <c r="E116" i="8"/>
  <c r="E117" i="8"/>
  <c r="E112" i="8"/>
  <c r="E120" i="8"/>
  <c r="D116" i="8"/>
  <c r="D117" i="8"/>
  <c r="D112" i="8"/>
  <c r="D119" i="8"/>
  <c r="X112" i="8"/>
  <c r="X113" i="8"/>
  <c r="W112" i="8"/>
  <c r="W113" i="8"/>
  <c r="V113" i="8"/>
  <c r="U112" i="8"/>
  <c r="U113" i="8"/>
  <c r="T112" i="8"/>
  <c r="T113" i="8"/>
  <c r="S112" i="8"/>
  <c r="S113" i="8"/>
  <c r="R112" i="8"/>
  <c r="R113" i="8"/>
  <c r="Q112" i="8"/>
  <c r="Q113" i="8"/>
  <c r="P112" i="8"/>
  <c r="P113" i="8"/>
  <c r="O112" i="8"/>
  <c r="O113" i="8"/>
  <c r="N112" i="8"/>
  <c r="N113" i="8"/>
  <c r="M112" i="8"/>
  <c r="M113" i="8"/>
  <c r="L112" i="8"/>
  <c r="L113" i="8"/>
  <c r="K112" i="8"/>
  <c r="K113" i="8"/>
  <c r="J112" i="8"/>
  <c r="J113" i="8"/>
  <c r="I112" i="8"/>
  <c r="I113" i="8"/>
  <c r="H112" i="8"/>
  <c r="H113" i="8"/>
  <c r="G112" i="8"/>
  <c r="G113" i="8"/>
  <c r="F113" i="8"/>
  <c r="E113" i="8"/>
  <c r="D113" i="8"/>
  <c r="X105" i="8"/>
  <c r="W105" i="8"/>
  <c r="V105" i="8"/>
  <c r="U105" i="8"/>
  <c r="T105" i="8"/>
  <c r="S105" i="8"/>
  <c r="R105" i="8"/>
  <c r="Q105" i="8"/>
  <c r="P105" i="8"/>
  <c r="P103" i="8"/>
  <c r="P106" i="8"/>
  <c r="O105" i="8"/>
  <c r="N105" i="8"/>
  <c r="M105" i="8"/>
  <c r="L105" i="8"/>
  <c r="L106" i="8"/>
  <c r="K105" i="8"/>
  <c r="K106" i="8"/>
  <c r="J105" i="8"/>
  <c r="J106" i="8"/>
  <c r="I105" i="8"/>
  <c r="I106" i="8"/>
  <c r="I108" i="8"/>
  <c r="H105" i="8"/>
  <c r="H106" i="8"/>
  <c r="G105" i="8"/>
  <c r="G106" i="8"/>
  <c r="F105" i="8"/>
  <c r="F106" i="8"/>
  <c r="F109" i="8"/>
  <c r="E105" i="8"/>
  <c r="E106" i="8"/>
  <c r="D105" i="8"/>
  <c r="D106" i="8"/>
  <c r="D109" i="8"/>
  <c r="X104" i="8"/>
  <c r="W104" i="8"/>
  <c r="V104" i="8"/>
  <c r="V93" i="8"/>
  <c r="V115" i="8"/>
  <c r="U104" i="8"/>
  <c r="T104" i="8"/>
  <c r="T93" i="8"/>
  <c r="T115" i="8"/>
  <c r="S104" i="8"/>
  <c r="R104" i="8"/>
  <c r="R115" i="8"/>
  <c r="Q104" i="8"/>
  <c r="P104" i="8"/>
  <c r="O104" i="8"/>
  <c r="O93" i="8"/>
  <c r="N104" i="8"/>
  <c r="N115" i="8"/>
  <c r="M104" i="8"/>
  <c r="L104" i="8"/>
  <c r="K104" i="8"/>
  <c r="J104" i="8"/>
  <c r="J93" i="8"/>
  <c r="J115" i="8"/>
  <c r="I104" i="8"/>
  <c r="H104" i="8"/>
  <c r="G104" i="8"/>
  <c r="F104" i="8"/>
  <c r="E104" i="8"/>
  <c r="D104" i="8"/>
  <c r="X103" i="8"/>
  <c r="W103" i="8"/>
  <c r="W106" i="8"/>
  <c r="V103" i="8"/>
  <c r="U103" i="8"/>
  <c r="T103" i="8"/>
  <c r="S103" i="8"/>
  <c r="R103" i="8"/>
  <c r="Q103" i="8"/>
  <c r="O103" i="8"/>
  <c r="O106" i="8"/>
  <c r="N103" i="8"/>
  <c r="M103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Y102" i="8"/>
  <c r="D102" i="8"/>
  <c r="C101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L95" i="8"/>
  <c r="K94" i="8"/>
  <c r="K95" i="8"/>
  <c r="J94" i="8"/>
  <c r="J95" i="8"/>
  <c r="I94" i="8"/>
  <c r="I95" i="8"/>
  <c r="H94" i="8"/>
  <c r="H95" i="8"/>
  <c r="G94" i="8"/>
  <c r="G95" i="8"/>
  <c r="F94" i="8"/>
  <c r="F95" i="8"/>
  <c r="E94" i="8"/>
  <c r="E95" i="8"/>
  <c r="D94" i="8"/>
  <c r="D95" i="8"/>
  <c r="W93" i="8"/>
  <c r="R93" i="8"/>
  <c r="Q93" i="8"/>
  <c r="N93" i="8"/>
  <c r="K93" i="8"/>
  <c r="I93" i="8"/>
  <c r="E93" i="8"/>
  <c r="X92" i="8"/>
  <c r="X95" i="8"/>
  <c r="W92" i="8"/>
  <c r="W95" i="8"/>
  <c r="V92" i="8"/>
  <c r="V95" i="8"/>
  <c r="U92" i="8"/>
  <c r="T92" i="8"/>
  <c r="S92" i="8"/>
  <c r="R92" i="8"/>
  <c r="Q92" i="8"/>
  <c r="P92" i="8"/>
  <c r="O92" i="8"/>
  <c r="N92" i="8"/>
  <c r="M92" i="8"/>
  <c r="X90" i="8"/>
  <c r="X91" i="8"/>
  <c r="W90" i="8"/>
  <c r="W91" i="8"/>
  <c r="V90" i="8"/>
  <c r="V91" i="8"/>
  <c r="U90" i="8"/>
  <c r="U91" i="8"/>
  <c r="T90" i="8"/>
  <c r="T91" i="8"/>
  <c r="S90" i="8"/>
  <c r="R90" i="8"/>
  <c r="R91" i="8"/>
  <c r="Q90" i="8"/>
  <c r="Q91" i="8"/>
  <c r="P90" i="8"/>
  <c r="O90" i="8"/>
  <c r="O91" i="8"/>
  <c r="N90" i="8"/>
  <c r="N91" i="8"/>
  <c r="M90" i="8"/>
  <c r="M91" i="8"/>
  <c r="L90" i="8"/>
  <c r="L91" i="8"/>
  <c r="K90" i="8"/>
  <c r="K91" i="8"/>
  <c r="J90" i="8"/>
  <c r="J91" i="8"/>
  <c r="I90" i="8"/>
  <c r="I91" i="8"/>
  <c r="H90" i="8"/>
  <c r="H91" i="8"/>
  <c r="G90" i="8"/>
  <c r="G91" i="8"/>
  <c r="F90" i="8"/>
  <c r="F91" i="8"/>
  <c r="E90" i="8"/>
  <c r="D90" i="8"/>
  <c r="D91" i="8"/>
  <c r="B87" i="8"/>
  <c r="J88" i="8"/>
  <c r="X80" i="8"/>
  <c r="W80" i="8"/>
  <c r="W78" i="8"/>
  <c r="W81" i="8"/>
  <c r="V80" i="8"/>
  <c r="U80" i="8"/>
  <c r="T80" i="8"/>
  <c r="T78" i="8"/>
  <c r="T81" i="8"/>
  <c r="S80" i="8"/>
  <c r="R80" i="8"/>
  <c r="Q80" i="8"/>
  <c r="P80" i="8"/>
  <c r="P78" i="8"/>
  <c r="P81" i="8"/>
  <c r="P76" i="8"/>
  <c r="P83" i="8"/>
  <c r="O80" i="8"/>
  <c r="N80" i="8"/>
  <c r="M80" i="8"/>
  <c r="L80" i="8"/>
  <c r="L81" i="8"/>
  <c r="K80" i="8"/>
  <c r="K81" i="8"/>
  <c r="J80" i="8"/>
  <c r="J81" i="8"/>
  <c r="I80" i="8"/>
  <c r="I81" i="8"/>
  <c r="H80" i="8"/>
  <c r="H81" i="8"/>
  <c r="G80" i="8"/>
  <c r="G81" i="8"/>
  <c r="F80" i="8"/>
  <c r="F81" i="8"/>
  <c r="E80" i="8"/>
  <c r="E81" i="8"/>
  <c r="D80" i="8"/>
  <c r="D81" i="8"/>
  <c r="X76" i="8"/>
  <c r="X77" i="8"/>
  <c r="W76" i="8"/>
  <c r="W77" i="8"/>
  <c r="V76" i="8"/>
  <c r="V77" i="8"/>
  <c r="U76" i="8"/>
  <c r="U77" i="8"/>
  <c r="T76" i="8"/>
  <c r="T77" i="8"/>
  <c r="S76" i="8"/>
  <c r="S77" i="8"/>
  <c r="R76" i="8"/>
  <c r="R77" i="8"/>
  <c r="Q76" i="8"/>
  <c r="P77" i="8"/>
  <c r="O76" i="8"/>
  <c r="O77" i="8"/>
  <c r="N76" i="8"/>
  <c r="N77" i="8"/>
  <c r="M76" i="8"/>
  <c r="M77" i="8"/>
  <c r="L76" i="8"/>
  <c r="L77" i="8"/>
  <c r="K76" i="8"/>
  <c r="K77" i="8"/>
  <c r="J76" i="8"/>
  <c r="J77" i="8"/>
  <c r="I76" i="8"/>
  <c r="I77" i="8"/>
  <c r="H76" i="8"/>
  <c r="H77" i="8"/>
  <c r="G76" i="8"/>
  <c r="G77" i="8"/>
  <c r="F76" i="8"/>
  <c r="E76" i="8"/>
  <c r="D76" i="8"/>
  <c r="D77" i="8"/>
  <c r="X69" i="8"/>
  <c r="X67" i="8"/>
  <c r="X70" i="8"/>
  <c r="W69" i="8"/>
  <c r="V69" i="8"/>
  <c r="U69" i="8"/>
  <c r="U67" i="8"/>
  <c r="U70" i="8"/>
  <c r="T69" i="8"/>
  <c r="S69" i="8"/>
  <c r="R69" i="8"/>
  <c r="Q69" i="8"/>
  <c r="P69" i="8"/>
  <c r="P67" i="8"/>
  <c r="P70" i="8"/>
  <c r="P72" i="8"/>
  <c r="O69" i="8"/>
  <c r="N69" i="8"/>
  <c r="M69" i="8"/>
  <c r="M67" i="8"/>
  <c r="M70" i="8"/>
  <c r="L69" i="8"/>
  <c r="L70" i="8"/>
  <c r="K69" i="8"/>
  <c r="K70" i="8"/>
  <c r="J69" i="8"/>
  <c r="J70" i="8"/>
  <c r="J72" i="8"/>
  <c r="I69" i="8"/>
  <c r="I70" i="8"/>
  <c r="H69" i="8"/>
  <c r="H70" i="8"/>
  <c r="G69" i="8"/>
  <c r="G70" i="8"/>
  <c r="F69" i="8"/>
  <c r="F70" i="8"/>
  <c r="E69" i="8"/>
  <c r="E70" i="8"/>
  <c r="D69" i="8"/>
  <c r="D70" i="8"/>
  <c r="X68" i="8"/>
  <c r="W68" i="8"/>
  <c r="V68" i="8"/>
  <c r="U68" i="8"/>
  <c r="U79" i="8"/>
  <c r="U57" i="8"/>
  <c r="T68" i="8"/>
  <c r="S68" i="8"/>
  <c r="S57" i="8"/>
  <c r="R68" i="8"/>
  <c r="Q68" i="8"/>
  <c r="P68" i="8"/>
  <c r="O68" i="8"/>
  <c r="N68" i="8"/>
  <c r="M68" i="8"/>
  <c r="M79" i="8"/>
  <c r="L68" i="8"/>
  <c r="L57" i="8"/>
  <c r="K68" i="8"/>
  <c r="J68" i="8"/>
  <c r="J79" i="8"/>
  <c r="I68" i="8"/>
  <c r="I57" i="8"/>
  <c r="I79" i="8"/>
  <c r="H68" i="8"/>
  <c r="G68" i="8"/>
  <c r="G79" i="8"/>
  <c r="F68" i="8"/>
  <c r="E68" i="8"/>
  <c r="D68" i="8"/>
  <c r="X78" i="8"/>
  <c r="W67" i="8"/>
  <c r="V67" i="8"/>
  <c r="V70" i="8"/>
  <c r="V71" i="8"/>
  <c r="V78" i="8"/>
  <c r="T67" i="8"/>
  <c r="S67" i="8"/>
  <c r="R67" i="8"/>
  <c r="R78" i="8"/>
  <c r="Q67" i="8"/>
  <c r="O67" i="8"/>
  <c r="N67" i="8"/>
  <c r="N78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E66" i="8"/>
  <c r="F66" i="8"/>
  <c r="Y66" i="8"/>
  <c r="D66" i="8"/>
  <c r="C65" i="8"/>
  <c r="X58" i="8"/>
  <c r="W58" i="8"/>
  <c r="V58" i="8"/>
  <c r="U58" i="8"/>
  <c r="T58" i="8"/>
  <c r="S58" i="8"/>
  <c r="R58" i="8"/>
  <c r="Q58" i="8"/>
  <c r="P58" i="8"/>
  <c r="P56" i="8"/>
  <c r="P59" i="8"/>
  <c r="O58" i="8"/>
  <c r="N58" i="8"/>
  <c r="M58" i="8"/>
  <c r="L58" i="8"/>
  <c r="L59" i="8"/>
  <c r="K58" i="8"/>
  <c r="K59" i="8"/>
  <c r="J58" i="8"/>
  <c r="J59" i="8"/>
  <c r="I58" i="8"/>
  <c r="I59" i="8"/>
  <c r="H58" i="8"/>
  <c r="H59" i="8"/>
  <c r="G58" i="8"/>
  <c r="G59" i="8"/>
  <c r="F58" i="8"/>
  <c r="F59" i="8"/>
  <c r="E58" i="8"/>
  <c r="E59" i="8"/>
  <c r="D58" i="8"/>
  <c r="D59" i="8"/>
  <c r="S56" i="8"/>
  <c r="S54" i="8"/>
  <c r="S55" i="8"/>
  <c r="X54" i="8"/>
  <c r="X55" i="8"/>
  <c r="W54" i="8"/>
  <c r="W55" i="8"/>
  <c r="V54" i="8"/>
  <c r="V55" i="8"/>
  <c r="U54" i="8"/>
  <c r="U55" i="8"/>
  <c r="T54" i="8"/>
  <c r="T55" i="8"/>
  <c r="R54" i="8"/>
  <c r="R55" i="8"/>
  <c r="Q54" i="8"/>
  <c r="Q55" i="8"/>
  <c r="P54" i="8"/>
  <c r="P55" i="8"/>
  <c r="O54" i="8"/>
  <c r="O55" i="8"/>
  <c r="N54" i="8"/>
  <c r="N55" i="8"/>
  <c r="M54" i="8"/>
  <c r="M55" i="8"/>
  <c r="L54" i="8"/>
  <c r="L55" i="8"/>
  <c r="K54" i="8"/>
  <c r="K55" i="8"/>
  <c r="J54" i="8"/>
  <c r="J55" i="8"/>
  <c r="I54" i="8"/>
  <c r="I55" i="8"/>
  <c r="H54" i="8"/>
  <c r="G54" i="8"/>
  <c r="G55" i="8"/>
  <c r="F54" i="8"/>
  <c r="F55" i="8"/>
  <c r="E54" i="8"/>
  <c r="E55" i="8"/>
  <c r="D54" i="8"/>
  <c r="D55" i="8"/>
  <c r="B51" i="8"/>
  <c r="J52" i="8"/>
  <c r="O56" i="8"/>
  <c r="J57" i="8"/>
  <c r="W56" i="8"/>
  <c r="M78" i="8"/>
  <c r="Q78" i="8"/>
  <c r="U78" i="8"/>
  <c r="M56" i="8"/>
  <c r="Q56" i="8"/>
  <c r="U56" i="8"/>
  <c r="O78" i="8"/>
  <c r="S78" i="8"/>
  <c r="M114" i="8"/>
  <c r="O114" i="8"/>
  <c r="Q114" i="8"/>
  <c r="U114" i="8"/>
  <c r="W114" i="8"/>
  <c r="N56" i="8"/>
  <c r="R56" i="8"/>
  <c r="T56" i="8"/>
  <c r="T59" i="8"/>
  <c r="V56" i="8"/>
  <c r="X56" i="8"/>
  <c r="G57" i="8"/>
  <c r="N70" i="8"/>
  <c r="N114" i="8"/>
  <c r="P114" i="8"/>
  <c r="P117" i="8"/>
  <c r="P119" i="8"/>
  <c r="R114" i="8"/>
  <c r="T114" i="8"/>
  <c r="X114" i="8"/>
  <c r="F61" i="8"/>
  <c r="S79" i="8"/>
  <c r="D98" i="8"/>
  <c r="D71" i="8"/>
  <c r="L79" i="8"/>
  <c r="E115" i="8"/>
  <c r="I115" i="8"/>
  <c r="K115" i="8"/>
  <c r="Q115" i="8"/>
  <c r="W115" i="8"/>
  <c r="D108" i="8"/>
  <c r="F108" i="8"/>
  <c r="U28" i="8"/>
  <c r="AK8" i="3"/>
  <c r="AM121" i="3"/>
  <c r="AL121" i="3"/>
  <c r="AM120" i="3"/>
  <c r="AL120" i="3"/>
  <c r="AK120" i="3"/>
  <c r="AM119" i="3"/>
  <c r="AL119" i="3"/>
  <c r="AK119" i="3"/>
  <c r="AE117" i="3"/>
  <c r="AM117" i="3"/>
  <c r="AM116" i="3"/>
  <c r="AL116" i="3"/>
  <c r="AK116" i="3"/>
  <c r="AM115" i="3"/>
  <c r="AL115" i="3"/>
  <c r="AK115" i="3"/>
  <c r="AM114" i="3"/>
  <c r="AL114" i="3"/>
  <c r="AM113" i="3"/>
  <c r="AL113" i="3"/>
  <c r="AK113" i="3"/>
  <c r="AM111" i="3"/>
  <c r="AL111" i="3"/>
  <c r="AK111" i="3"/>
  <c r="AM110" i="3"/>
  <c r="AL110" i="3"/>
  <c r="AK110" i="3"/>
  <c r="AM109" i="3"/>
  <c r="AL109" i="3"/>
  <c r="AK109" i="3"/>
  <c r="AM107" i="3"/>
  <c r="AL107" i="3"/>
  <c r="AM106" i="3"/>
  <c r="AL106" i="3"/>
  <c r="AK106" i="3"/>
  <c r="AL89" i="3"/>
  <c r="AM24" i="3"/>
  <c r="AL24" i="3"/>
  <c r="AK24" i="3"/>
  <c r="AM23" i="3"/>
  <c r="AL23" i="3"/>
  <c r="AK23" i="3"/>
  <c r="AM22" i="3"/>
  <c r="AL22" i="3"/>
  <c r="AM21" i="3"/>
  <c r="AL21" i="3"/>
  <c r="AK21" i="3"/>
  <c r="AM20" i="3"/>
  <c r="AL20" i="3"/>
  <c r="AK20" i="3"/>
  <c r="AM17" i="3"/>
  <c r="AM18" i="3"/>
  <c r="AM19" i="3"/>
  <c r="AL17" i="3"/>
  <c r="AL18" i="3"/>
  <c r="AL19" i="3"/>
  <c r="AM16" i="3"/>
  <c r="AL16" i="3"/>
  <c r="AK16" i="3"/>
  <c r="AM15" i="3"/>
  <c r="AL15" i="3"/>
  <c r="AK15" i="3"/>
  <c r="AM14" i="3"/>
  <c r="AL14" i="3"/>
  <c r="AM13" i="3"/>
  <c r="AL13" i="3"/>
  <c r="AK9" i="3"/>
  <c r="AK10" i="3"/>
  <c r="AK11" i="3"/>
  <c r="N129" i="8"/>
  <c r="M129" i="8"/>
  <c r="L129" i="8"/>
  <c r="K129" i="8"/>
  <c r="H129" i="8"/>
  <c r="I129" i="8"/>
  <c r="H101" i="6"/>
  <c r="H100" i="6"/>
  <c r="J28" i="8"/>
  <c r="K28" i="8"/>
  <c r="K41" i="8"/>
  <c r="H28" i="8"/>
  <c r="I28" i="8"/>
  <c r="I15" i="8"/>
  <c r="J41" i="8"/>
  <c r="H41" i="8"/>
  <c r="X28" i="8"/>
  <c r="X41" i="8"/>
  <c r="W28" i="8"/>
  <c r="W41" i="8"/>
  <c r="V28" i="8"/>
  <c r="V41" i="8"/>
  <c r="U41" i="8"/>
  <c r="T28" i="8"/>
  <c r="T41" i="8"/>
  <c r="S28" i="8"/>
  <c r="S41" i="8"/>
  <c r="R28" i="8"/>
  <c r="R41" i="8"/>
  <c r="P28" i="8"/>
  <c r="P15" i="8"/>
  <c r="Q28" i="8"/>
  <c r="Q15" i="8"/>
  <c r="N28" i="8"/>
  <c r="N41" i="8"/>
  <c r="O28" i="8"/>
  <c r="O41" i="8"/>
  <c r="M28" i="8"/>
  <c r="M15" i="8"/>
  <c r="M41" i="8"/>
  <c r="P41" i="8"/>
  <c r="I41" i="8"/>
  <c r="Q41" i="8"/>
  <c r="F28" i="8"/>
  <c r="F41" i="8"/>
  <c r="G28" i="8"/>
  <c r="G41" i="8"/>
  <c r="D28" i="8"/>
  <c r="D41" i="8"/>
  <c r="E28" i="8"/>
  <c r="E15" i="8"/>
  <c r="E41" i="8"/>
  <c r="D129" i="8"/>
  <c r="P129" i="8"/>
  <c r="X129" i="8"/>
  <c r="W129" i="8"/>
  <c r="V129" i="8"/>
  <c r="U129" i="8"/>
  <c r="T129" i="8"/>
  <c r="S129" i="8"/>
  <c r="R129" i="8"/>
  <c r="Q129" i="8"/>
  <c r="O129" i="8"/>
  <c r="E129" i="8"/>
  <c r="E101" i="6"/>
  <c r="F101" i="6"/>
  <c r="E100" i="6"/>
  <c r="F100" i="6"/>
  <c r="E116" i="6"/>
  <c r="E16" i="6"/>
  <c r="F16" i="6"/>
  <c r="BC31" i="3"/>
  <c r="BC35" i="3"/>
  <c r="BC64" i="3"/>
  <c r="BC66" i="3"/>
  <c r="BC69" i="3"/>
  <c r="BC70" i="3"/>
  <c r="BC71" i="3"/>
  <c r="BC72" i="3"/>
  <c r="BC77" i="3"/>
  <c r="BC84" i="3"/>
  <c r="BC86" i="3"/>
  <c r="BC93" i="3"/>
  <c r="BC97" i="3"/>
  <c r="BC113" i="3"/>
  <c r="BC128" i="3"/>
  <c r="BC129" i="3"/>
  <c r="BC130" i="3"/>
  <c r="BC135" i="3"/>
  <c r="BC136" i="3"/>
  <c r="BC137" i="3"/>
  <c r="BC138" i="3"/>
  <c r="BC139" i="3"/>
  <c r="BC140" i="3"/>
  <c r="BC143" i="3"/>
  <c r="BC147" i="3"/>
  <c r="BC155" i="3"/>
  <c r="BC165" i="3"/>
  <c r="BC166" i="3"/>
  <c r="BC168" i="3"/>
  <c r="BC169" i="3"/>
  <c r="AK82" i="3"/>
  <c r="E18" i="6"/>
  <c r="D165" i="4"/>
  <c r="E165" i="4"/>
  <c r="F165" i="4"/>
  <c r="G165" i="4"/>
  <c r="I165" i="4"/>
  <c r="K165" i="4"/>
  <c r="L165" i="4"/>
  <c r="D158" i="4"/>
  <c r="E158" i="4"/>
  <c r="F158" i="4"/>
  <c r="G158" i="4"/>
  <c r="H158" i="4"/>
  <c r="I158" i="4"/>
  <c r="K158" i="4"/>
  <c r="L158" i="4"/>
  <c r="D150" i="4"/>
  <c r="E150" i="4"/>
  <c r="F150" i="4"/>
  <c r="G150" i="4"/>
  <c r="I150" i="4"/>
  <c r="D147" i="4"/>
  <c r="E147" i="4"/>
  <c r="F147" i="4"/>
  <c r="G147" i="4"/>
  <c r="I147" i="4"/>
  <c r="K147" i="4"/>
  <c r="D146" i="4"/>
  <c r="E146" i="4"/>
  <c r="F146" i="4"/>
  <c r="G146" i="4"/>
  <c r="H146" i="4"/>
  <c r="I146" i="4"/>
  <c r="J146" i="4"/>
  <c r="K146" i="4"/>
  <c r="L146" i="4"/>
  <c r="D113" i="4"/>
  <c r="E113" i="4"/>
  <c r="F113" i="4"/>
  <c r="G113" i="4"/>
  <c r="I113" i="4"/>
  <c r="D93" i="4"/>
  <c r="E93" i="4"/>
  <c r="F93" i="4"/>
  <c r="G93" i="4"/>
  <c r="I93" i="4"/>
  <c r="D94" i="4"/>
  <c r="E94" i="4"/>
  <c r="F94" i="4"/>
  <c r="G94" i="4"/>
  <c r="I94" i="4"/>
  <c r="D95" i="4"/>
  <c r="E95" i="4"/>
  <c r="F95" i="4"/>
  <c r="G95" i="4"/>
  <c r="I95" i="4"/>
  <c r="D96" i="4"/>
  <c r="E96" i="4"/>
  <c r="F96" i="4"/>
  <c r="G96" i="4"/>
  <c r="I96" i="4"/>
  <c r="D97" i="4"/>
  <c r="E97" i="4"/>
  <c r="F97" i="4"/>
  <c r="G97" i="4"/>
  <c r="I97" i="4"/>
  <c r="D91" i="4"/>
  <c r="E91" i="4"/>
  <c r="F91" i="4"/>
  <c r="G91" i="4"/>
  <c r="I91" i="4"/>
  <c r="E85" i="4"/>
  <c r="F85" i="4"/>
  <c r="G85" i="4"/>
  <c r="I85" i="4"/>
  <c r="D42" i="4"/>
  <c r="E42" i="4"/>
  <c r="F42" i="4"/>
  <c r="G42" i="4"/>
  <c r="I42" i="4"/>
  <c r="D43" i="4"/>
  <c r="E43" i="4"/>
  <c r="F43" i="4"/>
  <c r="G43" i="4"/>
  <c r="I43" i="4"/>
  <c r="E34" i="3"/>
  <c r="C44" i="4"/>
  <c r="D44" i="4"/>
  <c r="E44" i="4"/>
  <c r="F44" i="4"/>
  <c r="G44" i="4"/>
  <c r="I44" i="4"/>
  <c r="D45" i="4"/>
  <c r="E45" i="4"/>
  <c r="F45" i="4"/>
  <c r="G45" i="4"/>
  <c r="I45" i="4"/>
  <c r="D21" i="4"/>
  <c r="E21" i="4"/>
  <c r="F21" i="4"/>
  <c r="G21" i="4"/>
  <c r="D22" i="4"/>
  <c r="E22" i="4"/>
  <c r="F22" i="4"/>
  <c r="G22" i="4"/>
  <c r="I22" i="4"/>
  <c r="D132" i="4"/>
  <c r="E132" i="4"/>
  <c r="F132" i="4"/>
  <c r="G132" i="4"/>
  <c r="I132" i="4"/>
  <c r="K132" i="4"/>
  <c r="D133" i="4"/>
  <c r="E133" i="4"/>
  <c r="F133" i="4"/>
  <c r="G133" i="4"/>
  <c r="I133" i="4"/>
  <c r="K133" i="4"/>
  <c r="D134" i="4"/>
  <c r="E134" i="4"/>
  <c r="F134" i="4"/>
  <c r="G134" i="4"/>
  <c r="I134" i="4"/>
  <c r="K134" i="4"/>
  <c r="P98" i="3"/>
  <c r="X96" i="3"/>
  <c r="E169" i="3"/>
  <c r="C175" i="4"/>
  <c r="M169" i="3"/>
  <c r="AI169" i="3"/>
  <c r="AJ169" i="3"/>
  <c r="AS169" i="3"/>
  <c r="AK76" i="3"/>
  <c r="AK75" i="3"/>
  <c r="AD125" i="3"/>
  <c r="X126" i="3"/>
  <c r="Y126" i="3"/>
  <c r="X125" i="3"/>
  <c r="X127" i="3"/>
  <c r="U125" i="3"/>
  <c r="S125" i="3"/>
  <c r="S126" i="3"/>
  <c r="S127" i="3"/>
  <c r="P127" i="3"/>
  <c r="Q127" i="3"/>
  <c r="P126" i="3"/>
  <c r="Q126" i="3"/>
  <c r="P125" i="3"/>
  <c r="Q125" i="3"/>
  <c r="O125" i="3"/>
  <c r="L132" i="4"/>
  <c r="O127" i="3"/>
  <c r="L134" i="4"/>
  <c r="O126" i="3"/>
  <c r="L133" i="4"/>
  <c r="AZ77" i="3"/>
  <c r="W77" i="3"/>
  <c r="AB77" i="3"/>
  <c r="Y77" i="3"/>
  <c r="X77" i="3"/>
  <c r="AS77" i="3"/>
  <c r="BB77" i="3"/>
  <c r="BA77" i="3"/>
  <c r="AC77" i="3"/>
  <c r="AD77" i="3"/>
  <c r="V77" i="3"/>
  <c r="T77" i="3"/>
  <c r="P77" i="3"/>
  <c r="N77" i="3"/>
  <c r="R77" i="3"/>
  <c r="J77" i="3"/>
  <c r="H85" i="4"/>
  <c r="AY77" i="3"/>
  <c r="AV77" i="3"/>
  <c r="AU77" i="3"/>
  <c r="AN77" i="3"/>
  <c r="AM77" i="3"/>
  <c r="AJ77" i="3"/>
  <c r="F77" i="3"/>
  <c r="D85" i="4"/>
  <c r="E77" i="3"/>
  <c r="C85" i="4"/>
  <c r="B77" i="3"/>
  <c r="N76" i="3"/>
  <c r="J125" i="3"/>
  <c r="H132" i="4"/>
  <c r="AZ127" i="3"/>
  <c r="AS127" i="3"/>
  <c r="AK127" i="3"/>
  <c r="AI127" i="3"/>
  <c r="AJ127" i="3"/>
  <c r="M127" i="3"/>
  <c r="BC127" i="3"/>
  <c r="AB127" i="3"/>
  <c r="Y127" i="3"/>
  <c r="AR127" i="3"/>
  <c r="J127" i="3"/>
  <c r="H134" i="4"/>
  <c r="B127" i="3"/>
  <c r="AZ125" i="3"/>
  <c r="AS125" i="3"/>
  <c r="AK125" i="3"/>
  <c r="AI125" i="3"/>
  <c r="AJ125" i="3"/>
  <c r="AB125" i="3"/>
  <c r="Y125" i="3"/>
  <c r="B125" i="3"/>
  <c r="AZ126" i="3"/>
  <c r="AS126" i="3"/>
  <c r="AK126" i="3"/>
  <c r="AI126" i="3"/>
  <c r="AJ126" i="3"/>
  <c r="AB126" i="3"/>
  <c r="J126" i="3"/>
  <c r="H133" i="4"/>
  <c r="B126" i="3"/>
  <c r="AK124" i="3"/>
  <c r="L156" i="3"/>
  <c r="AM156" i="3"/>
  <c r="AL156" i="3"/>
  <c r="AK156" i="3"/>
  <c r="AD11" i="3"/>
  <c r="AB9" i="3"/>
  <c r="AB11" i="3"/>
  <c r="AA8" i="3"/>
  <c r="AA10" i="3"/>
  <c r="Y9" i="3"/>
  <c r="Y11" i="3"/>
  <c r="AC10" i="3"/>
  <c r="AD10" i="3"/>
  <c r="Z10" i="3"/>
  <c r="Z11" i="3"/>
  <c r="AR11" i="3"/>
  <c r="W10" i="3"/>
  <c r="Y10" i="3"/>
  <c r="V10" i="3"/>
  <c r="T10" i="3"/>
  <c r="K10" i="3"/>
  <c r="I21" i="4"/>
  <c r="J11" i="3"/>
  <c r="H22" i="4"/>
  <c r="AZ11" i="3"/>
  <c r="AJ11" i="3"/>
  <c r="M11" i="3"/>
  <c r="BC11" i="3"/>
  <c r="AI11" i="3"/>
  <c r="L11" i="3"/>
  <c r="J22" i="4"/>
  <c r="X11" i="3"/>
  <c r="N11" i="3"/>
  <c r="E11" i="3"/>
  <c r="A11" i="3"/>
  <c r="B22" i="4"/>
  <c r="B11" i="3"/>
  <c r="BB10" i="3"/>
  <c r="BA10" i="3"/>
  <c r="AZ10" i="3"/>
  <c r="AH10" i="3"/>
  <c r="AG10" i="3"/>
  <c r="AF10" i="3"/>
  <c r="AE10" i="3"/>
  <c r="X10" i="3"/>
  <c r="N10" i="3"/>
  <c r="O10" i="3"/>
  <c r="L21" i="4"/>
  <c r="J10" i="3"/>
  <c r="H21" i="4"/>
  <c r="E10" i="3"/>
  <c r="A10" i="3"/>
  <c r="B21" i="4"/>
  <c r="B10" i="3"/>
  <c r="AZ159" i="3"/>
  <c r="AQ159" i="3"/>
  <c r="AS159" i="3"/>
  <c r="AR159" i="3"/>
  <c r="AJ159" i="3"/>
  <c r="M159" i="3"/>
  <c r="BC159" i="3"/>
  <c r="AI159" i="3"/>
  <c r="L159" i="3"/>
  <c r="J165" i="4"/>
  <c r="Y159" i="3"/>
  <c r="X159" i="3"/>
  <c r="J159" i="3"/>
  <c r="H165" i="4"/>
  <c r="E159" i="3"/>
  <c r="B159" i="3"/>
  <c r="X158" i="3"/>
  <c r="J158" i="3"/>
  <c r="X142" i="3"/>
  <c r="J142" i="3"/>
  <c r="V35" i="3"/>
  <c r="AC35" i="3"/>
  <c r="AC8" i="3"/>
  <c r="N35" i="3"/>
  <c r="R35" i="3"/>
  <c r="J35" i="3"/>
  <c r="H45" i="4"/>
  <c r="BB35" i="3"/>
  <c r="BA35" i="3"/>
  <c r="AZ35" i="3"/>
  <c r="AY35" i="3"/>
  <c r="AX35" i="3"/>
  <c r="AW35" i="3"/>
  <c r="AV35" i="3"/>
  <c r="AU35" i="3"/>
  <c r="AS35" i="3"/>
  <c r="AM35" i="3"/>
  <c r="AL35" i="3"/>
  <c r="AK35" i="3"/>
  <c r="AJ35" i="3"/>
  <c r="M35" i="3"/>
  <c r="AI35" i="3"/>
  <c r="AB35" i="3"/>
  <c r="AA35" i="3"/>
  <c r="Z35" i="3"/>
  <c r="Y35" i="3"/>
  <c r="X35" i="3"/>
  <c r="W35" i="3"/>
  <c r="E35" i="3"/>
  <c r="B35" i="3"/>
  <c r="AD34" i="3"/>
  <c r="Y34" i="3"/>
  <c r="J34" i="3"/>
  <c r="H44" i="4"/>
  <c r="AZ34" i="3"/>
  <c r="AM34" i="3"/>
  <c r="AL34" i="3"/>
  <c r="AJ34" i="3"/>
  <c r="M34" i="3"/>
  <c r="BC34" i="3"/>
  <c r="AI34" i="3"/>
  <c r="L34" i="3"/>
  <c r="J44" i="4"/>
  <c r="AA34" i="3"/>
  <c r="Z34" i="3"/>
  <c r="AR34" i="3"/>
  <c r="X34" i="3"/>
  <c r="N34" i="3"/>
  <c r="A34" i="3"/>
  <c r="B44" i="4"/>
  <c r="B34" i="3"/>
  <c r="AB144" i="3"/>
  <c r="X144" i="3"/>
  <c r="J144" i="3"/>
  <c r="H150" i="4"/>
  <c r="AZ144" i="3"/>
  <c r="AS144" i="3"/>
  <c r="AR144" i="3"/>
  <c r="AJ144" i="3"/>
  <c r="M144" i="3"/>
  <c r="BC144" i="3"/>
  <c r="AC144" i="3"/>
  <c r="AD144" i="3"/>
  <c r="Y144" i="3"/>
  <c r="N144" i="3"/>
  <c r="E144" i="3"/>
  <c r="B144" i="3"/>
  <c r="BB145" i="3"/>
  <c r="BA145" i="3"/>
  <c r="X145" i="3"/>
  <c r="X146" i="3"/>
  <c r="J145" i="3"/>
  <c r="H151" i="4"/>
  <c r="J146" i="3"/>
  <c r="H152" i="4"/>
  <c r="Z76" i="3"/>
  <c r="AC76" i="3"/>
  <c r="W76" i="3"/>
  <c r="X76" i="3"/>
  <c r="V76" i="3"/>
  <c r="R76" i="3"/>
  <c r="S76" i="3"/>
  <c r="P76" i="3"/>
  <c r="Q76" i="3"/>
  <c r="K76" i="3"/>
  <c r="I76" i="3"/>
  <c r="J76" i="3"/>
  <c r="AD75" i="3"/>
  <c r="AA76" i="3"/>
  <c r="X75" i="3"/>
  <c r="U75" i="3"/>
  <c r="S75" i="3"/>
  <c r="P75" i="3"/>
  <c r="Q75" i="3"/>
  <c r="O75" i="3"/>
  <c r="L83" i="4"/>
  <c r="J75" i="3"/>
  <c r="H83" i="4"/>
  <c r="W69" i="3"/>
  <c r="X69" i="3"/>
  <c r="Y69" i="3"/>
  <c r="Z69" i="3"/>
  <c r="AA69" i="3"/>
  <c r="AB69" i="3"/>
  <c r="V69" i="3"/>
  <c r="BB67" i="3"/>
  <c r="BA67" i="3"/>
  <c r="AZ67" i="3"/>
  <c r="AR67" i="3"/>
  <c r="AJ67" i="3"/>
  <c r="M67" i="3"/>
  <c r="L67" i="3"/>
  <c r="AI67" i="3"/>
  <c r="AC67" i="3"/>
  <c r="AD67" i="3"/>
  <c r="AB67" i="3"/>
  <c r="Y67" i="3"/>
  <c r="X67" i="3"/>
  <c r="N67" i="3"/>
  <c r="P67" i="3"/>
  <c r="J67" i="3"/>
  <c r="E67" i="3"/>
  <c r="A67" i="3"/>
  <c r="B67" i="3"/>
  <c r="J69" i="3"/>
  <c r="H77" i="4"/>
  <c r="AU69" i="3"/>
  <c r="AV69" i="3"/>
  <c r="AW69" i="3"/>
  <c r="Y68" i="3"/>
  <c r="X68" i="3"/>
  <c r="J68" i="3"/>
  <c r="AM152" i="3"/>
  <c r="AL152" i="3"/>
  <c r="AK152" i="3"/>
  <c r="X66" i="3"/>
  <c r="Y66" i="3"/>
  <c r="Z66" i="3"/>
  <c r="V66" i="3"/>
  <c r="W66" i="3"/>
  <c r="N66" i="3"/>
  <c r="AU66" i="3"/>
  <c r="AV66" i="3"/>
  <c r="AW66" i="3"/>
  <c r="AI66" i="3"/>
  <c r="L66" i="3"/>
  <c r="J75" i="4"/>
  <c r="N75" i="4"/>
  <c r="Y65" i="3"/>
  <c r="X65" i="3"/>
  <c r="J65" i="3"/>
  <c r="H74" i="4"/>
  <c r="M152" i="3"/>
  <c r="BC152" i="3"/>
  <c r="L152" i="3"/>
  <c r="J158" i="4"/>
  <c r="E152" i="3"/>
  <c r="B152" i="3"/>
  <c r="AB83" i="3"/>
  <c r="X83" i="3"/>
  <c r="Y83" i="3"/>
  <c r="J83" i="3"/>
  <c r="H91" i="4"/>
  <c r="BA83" i="3"/>
  <c r="BB83" i="3"/>
  <c r="AZ83" i="3"/>
  <c r="AR83" i="3"/>
  <c r="AF83" i="3"/>
  <c r="AJ83" i="3"/>
  <c r="AC83" i="3"/>
  <c r="AD83" i="3"/>
  <c r="N83" i="3"/>
  <c r="R83" i="3"/>
  <c r="S83" i="3"/>
  <c r="E83" i="3"/>
  <c r="A83" i="3"/>
  <c r="B91" i="4"/>
  <c r="B83" i="3"/>
  <c r="J82" i="3"/>
  <c r="H90" i="4"/>
  <c r="AH162" i="3"/>
  <c r="AG162" i="3"/>
  <c r="AE162" i="3"/>
  <c r="AC162" i="3"/>
  <c r="AD162" i="3"/>
  <c r="AC163" i="3"/>
  <c r="AD163" i="3"/>
  <c r="N163" i="3"/>
  <c r="K169" i="4"/>
  <c r="J163" i="3"/>
  <c r="H169" i="4"/>
  <c r="AG161" i="3"/>
  <c r="AG160" i="3"/>
  <c r="AE161" i="3"/>
  <c r="AE160" i="3"/>
  <c r="AC161" i="3"/>
  <c r="X95" i="3"/>
  <c r="Y95" i="3"/>
  <c r="P95" i="3"/>
  <c r="Q95" i="3"/>
  <c r="AC63" i="3"/>
  <c r="AD63" i="3"/>
  <c r="AC64" i="3"/>
  <c r="N62" i="3"/>
  <c r="P62" i="3"/>
  <c r="Q62" i="3"/>
  <c r="N64" i="3"/>
  <c r="R64" i="3"/>
  <c r="N63" i="3"/>
  <c r="R63" i="3"/>
  <c r="BB149" i="3"/>
  <c r="BA149" i="3"/>
  <c r="X149" i="3"/>
  <c r="X148" i="3"/>
  <c r="U149" i="3"/>
  <c r="U148" i="3"/>
  <c r="J149" i="3"/>
  <c r="H155" i="4"/>
  <c r="J148" i="3"/>
  <c r="H154" i="4"/>
  <c r="X91" i="3"/>
  <c r="X92" i="3"/>
  <c r="X90" i="3"/>
  <c r="J93" i="3"/>
  <c r="H101" i="4"/>
  <c r="J91" i="3"/>
  <c r="H99" i="4"/>
  <c r="BA80" i="3"/>
  <c r="X78" i="3"/>
  <c r="J78" i="3"/>
  <c r="H86" i="4"/>
  <c r="X73" i="3"/>
  <c r="X122" i="3"/>
  <c r="J122" i="3"/>
  <c r="H129" i="4"/>
  <c r="X123" i="3"/>
  <c r="J123" i="3"/>
  <c r="H130" i="4"/>
  <c r="X157" i="3"/>
  <c r="J157" i="3"/>
  <c r="H163" i="4"/>
  <c r="X104" i="3"/>
  <c r="X105" i="3"/>
  <c r="J105" i="3"/>
  <c r="H113" i="4"/>
  <c r="J104" i="3"/>
  <c r="H112" i="4"/>
  <c r="AZ105" i="3"/>
  <c r="AR105" i="3"/>
  <c r="AM105" i="3"/>
  <c r="AL105" i="3"/>
  <c r="AJ105" i="3"/>
  <c r="M105" i="3"/>
  <c r="BC105" i="3"/>
  <c r="AI105" i="3"/>
  <c r="L105" i="3"/>
  <c r="J113" i="4"/>
  <c r="AC105" i="3"/>
  <c r="AD105" i="3"/>
  <c r="N105" i="3"/>
  <c r="E105" i="3"/>
  <c r="B105" i="3"/>
  <c r="BA119" i="3"/>
  <c r="BB119" i="3"/>
  <c r="BA120" i="3"/>
  <c r="BB120" i="3"/>
  <c r="BA121" i="3"/>
  <c r="BB121" i="3"/>
  <c r="AZ117" i="3"/>
  <c r="AH117" i="3"/>
  <c r="AG117" i="3"/>
  <c r="AF117" i="3"/>
  <c r="AT117" i="3"/>
  <c r="AC117" i="3"/>
  <c r="AD117" i="3"/>
  <c r="AB117" i="3"/>
  <c r="AA117" i="3"/>
  <c r="W117" i="3"/>
  <c r="X117" i="3"/>
  <c r="V117" i="3"/>
  <c r="AR117" i="3"/>
  <c r="N117" i="3"/>
  <c r="J117" i="3"/>
  <c r="E117" i="3"/>
  <c r="A117" i="3"/>
  <c r="B117" i="3"/>
  <c r="BB116" i="3"/>
  <c r="BA116" i="3"/>
  <c r="AS121" i="3"/>
  <c r="AS116" i="3"/>
  <c r="AS114" i="3"/>
  <c r="BB113" i="3"/>
  <c r="BA113" i="3"/>
  <c r="BA109" i="3"/>
  <c r="BB109" i="3"/>
  <c r="BA110" i="3"/>
  <c r="BB110" i="3"/>
  <c r="BB106" i="3"/>
  <c r="BA106" i="3"/>
  <c r="X121" i="3"/>
  <c r="X120" i="3"/>
  <c r="X119" i="3"/>
  <c r="X116" i="3"/>
  <c r="X114" i="3"/>
  <c r="X113" i="3"/>
  <c r="X111" i="3"/>
  <c r="X107" i="3"/>
  <c r="X103" i="3"/>
  <c r="N104" i="3"/>
  <c r="J102" i="3"/>
  <c r="H110" i="4"/>
  <c r="J101" i="3"/>
  <c r="H109" i="4"/>
  <c r="J100" i="3"/>
  <c r="H108" i="4"/>
  <c r="J99" i="3"/>
  <c r="H107" i="4"/>
  <c r="BB86" i="3"/>
  <c r="BA86" i="3"/>
  <c r="AZ86" i="3"/>
  <c r="AY86" i="3"/>
  <c r="AX86" i="3"/>
  <c r="AW86" i="3"/>
  <c r="AV86" i="3"/>
  <c r="AU86" i="3"/>
  <c r="AP86" i="3"/>
  <c r="AO86" i="3"/>
  <c r="AN86" i="3"/>
  <c r="AM86" i="3"/>
  <c r="AL86" i="3"/>
  <c r="AK86" i="3"/>
  <c r="AB86" i="3"/>
  <c r="AA86" i="3"/>
  <c r="Z86" i="3"/>
  <c r="Y86" i="3"/>
  <c r="X86" i="3"/>
  <c r="W86" i="3"/>
  <c r="V86" i="3"/>
  <c r="BA85" i="3"/>
  <c r="AZ85" i="3"/>
  <c r="AR85" i="3"/>
  <c r="AH85" i="3"/>
  <c r="AT85" i="3"/>
  <c r="AG85" i="3"/>
  <c r="N85" i="3"/>
  <c r="K93" i="4"/>
  <c r="J85" i="3"/>
  <c r="H93" i="4"/>
  <c r="E85" i="3"/>
  <c r="B85" i="3"/>
  <c r="AS53" i="3"/>
  <c r="N33" i="3"/>
  <c r="K43" i="4"/>
  <c r="N32" i="3"/>
  <c r="P32" i="3"/>
  <c r="AZ32" i="3"/>
  <c r="AQ32" i="3"/>
  <c r="N31" i="3"/>
  <c r="Q31" i="3"/>
  <c r="N30" i="3"/>
  <c r="O30" i="3"/>
  <c r="X100" i="3"/>
  <c r="X101" i="3"/>
  <c r="X102" i="3"/>
  <c r="X99" i="3"/>
  <c r="U102" i="3"/>
  <c r="U101" i="3"/>
  <c r="U100" i="3"/>
  <c r="U99" i="3"/>
  <c r="S102" i="3"/>
  <c r="S101" i="3"/>
  <c r="S100" i="3"/>
  <c r="S99" i="3"/>
  <c r="Q102" i="3"/>
  <c r="Q101" i="3"/>
  <c r="Q100" i="3"/>
  <c r="Q99" i="3"/>
  <c r="O102" i="3"/>
  <c r="L110" i="4"/>
  <c r="O101" i="3"/>
  <c r="L109" i="4"/>
  <c r="O100" i="3"/>
  <c r="L108" i="4"/>
  <c r="O99" i="3"/>
  <c r="L107" i="4"/>
  <c r="X98" i="3"/>
  <c r="BB89" i="3"/>
  <c r="BA89" i="3"/>
  <c r="X89" i="3"/>
  <c r="J89" i="3"/>
  <c r="H97" i="4"/>
  <c r="X88" i="3"/>
  <c r="X87" i="3"/>
  <c r="J87" i="3"/>
  <c r="H95" i="4"/>
  <c r="AS62" i="3"/>
  <c r="X167" i="3"/>
  <c r="J167" i="3"/>
  <c r="H173" i="4"/>
  <c r="AI62" i="3"/>
  <c r="L62" i="3"/>
  <c r="AJ62" i="3"/>
  <c r="M62" i="3"/>
  <c r="BC62" i="3"/>
  <c r="AL62" i="3"/>
  <c r="AM62" i="3"/>
  <c r="AR62" i="3"/>
  <c r="X62" i="3"/>
  <c r="Y62" i="3"/>
  <c r="BA62" i="3"/>
  <c r="BB62" i="3"/>
  <c r="J62" i="3"/>
  <c r="AC62" i="3"/>
  <c r="AD62" i="3"/>
  <c r="AZ62" i="3"/>
  <c r="E62" i="3"/>
  <c r="B62" i="3"/>
  <c r="BA59" i="3"/>
  <c r="BA60" i="3"/>
  <c r="BA61" i="3"/>
  <c r="BA63" i="3"/>
  <c r="BA58" i="3"/>
  <c r="BA55" i="3"/>
  <c r="BA56" i="3"/>
  <c r="BA57" i="3"/>
  <c r="BA54" i="3"/>
  <c r="BA52" i="3"/>
  <c r="BA51" i="3"/>
  <c r="BB59" i="3"/>
  <c r="BB60" i="3"/>
  <c r="BB61" i="3"/>
  <c r="BB63" i="3"/>
  <c r="BB58" i="3"/>
  <c r="BB55" i="3"/>
  <c r="BB51" i="3"/>
  <c r="BB52" i="3"/>
  <c r="BB54" i="3"/>
  <c r="X55" i="3"/>
  <c r="X52" i="3"/>
  <c r="X53" i="3"/>
  <c r="X54" i="3"/>
  <c r="X58" i="3"/>
  <c r="X59" i="3"/>
  <c r="X60" i="3"/>
  <c r="X61" i="3"/>
  <c r="X51" i="3"/>
  <c r="BA49" i="3"/>
  <c r="BB49" i="3"/>
  <c r="BA50" i="3"/>
  <c r="BB50" i="3"/>
  <c r="BB48" i="3"/>
  <c r="BA48" i="3"/>
  <c r="BB47" i="3"/>
  <c r="BA47" i="3"/>
  <c r="BB46" i="3"/>
  <c r="BA46" i="3"/>
  <c r="BB42" i="3"/>
  <c r="BA42" i="3"/>
  <c r="BB45" i="3"/>
  <c r="BB44" i="3"/>
  <c r="BA45" i="3"/>
  <c r="BA44" i="3"/>
  <c r="X50" i="3"/>
  <c r="X43" i="3"/>
  <c r="X46" i="3"/>
  <c r="X47" i="3"/>
  <c r="X48" i="3"/>
  <c r="X49" i="3"/>
  <c r="X42" i="3"/>
  <c r="B42" i="3"/>
  <c r="B43" i="3"/>
  <c r="B44" i="3"/>
  <c r="B45" i="3"/>
  <c r="J33" i="3"/>
  <c r="H43" i="4"/>
  <c r="J32" i="3"/>
  <c r="H42" i="4"/>
  <c r="J29" i="3"/>
  <c r="H39" i="4"/>
  <c r="J28" i="3"/>
  <c r="H38" i="4"/>
  <c r="X33" i="3"/>
  <c r="X32" i="3"/>
  <c r="X30" i="3"/>
  <c r="AZ33" i="3"/>
  <c r="AS33" i="3"/>
  <c r="AR33" i="3"/>
  <c r="AK33" i="3"/>
  <c r="AI33" i="3"/>
  <c r="L33" i="3"/>
  <c r="J43" i="4"/>
  <c r="AJ33" i="3"/>
  <c r="M33" i="3"/>
  <c r="BC33" i="3"/>
  <c r="AC33" i="3"/>
  <c r="AD33" i="3"/>
  <c r="Y33" i="3"/>
  <c r="AR32" i="3"/>
  <c r="AK32" i="3"/>
  <c r="AI32" i="3"/>
  <c r="L32" i="3"/>
  <c r="J42" i="4"/>
  <c r="AJ32" i="3"/>
  <c r="M32" i="3"/>
  <c r="BC32" i="3"/>
  <c r="AC32" i="3"/>
  <c r="AD32" i="3"/>
  <c r="Y32" i="3"/>
  <c r="B32" i="3"/>
  <c r="B33" i="3"/>
  <c r="E33" i="3"/>
  <c r="A33" i="3"/>
  <c r="B43" i="4"/>
  <c r="E32" i="3"/>
  <c r="C42" i="4"/>
  <c r="BB39" i="3"/>
  <c r="BA39" i="3"/>
  <c r="X27" i="3"/>
  <c r="X25" i="3"/>
  <c r="X28" i="3"/>
  <c r="X29" i="3"/>
  <c r="BB26" i="3"/>
  <c r="BB18" i="3"/>
  <c r="BB41" i="3"/>
  <c r="BB40" i="3"/>
  <c r="BB37" i="3"/>
  <c r="BB36" i="3"/>
  <c r="BA36" i="3"/>
  <c r="BA41" i="3"/>
  <c r="BA40" i="3"/>
  <c r="BA37" i="3"/>
  <c r="X41" i="3"/>
  <c r="X40" i="3"/>
  <c r="X36" i="3"/>
  <c r="X37" i="3"/>
  <c r="X38" i="3"/>
  <c r="X39" i="3"/>
  <c r="AD9" i="3"/>
  <c r="J9" i="3"/>
  <c r="H20" i="4"/>
  <c r="J8" i="3"/>
  <c r="H19" i="4"/>
  <c r="BB19" i="3"/>
  <c r="BA19" i="3"/>
  <c r="BA18" i="3"/>
  <c r="AS141" i="3"/>
  <c r="AR141" i="3"/>
  <c r="AI141" i="3"/>
  <c r="L141" i="3"/>
  <c r="J147" i="4"/>
  <c r="AJ141" i="3"/>
  <c r="M141" i="3"/>
  <c r="BC141" i="3"/>
  <c r="AD141" i="3"/>
  <c r="Y141" i="3"/>
  <c r="X141" i="3"/>
  <c r="U141" i="3"/>
  <c r="S141" i="3"/>
  <c r="P141" i="3"/>
  <c r="AQ141" i="3"/>
  <c r="O141" i="3"/>
  <c r="L147" i="4"/>
  <c r="J141" i="3"/>
  <c r="H147" i="4"/>
  <c r="E141" i="3"/>
  <c r="C147" i="4"/>
  <c r="B141" i="3"/>
  <c r="BB27" i="3"/>
  <c r="BA27" i="3"/>
  <c r="BA26" i="3"/>
  <c r="BB24" i="3"/>
  <c r="BA24" i="3"/>
  <c r="BB23" i="3"/>
  <c r="BA23" i="3"/>
  <c r="BB22" i="3"/>
  <c r="BA22" i="3"/>
  <c r="BB21" i="3"/>
  <c r="BA21" i="3"/>
  <c r="BB20" i="3"/>
  <c r="BA20" i="3"/>
  <c r="BB16" i="3"/>
  <c r="BA16" i="3"/>
  <c r="BA14" i="3"/>
  <c r="BB14" i="3"/>
  <c r="BA15" i="3"/>
  <c r="BB15" i="3"/>
  <c r="BB13" i="3"/>
  <c r="BA13" i="3"/>
  <c r="BB8" i="3"/>
  <c r="BA8" i="3"/>
  <c r="X23" i="3"/>
  <c r="X24" i="3"/>
  <c r="E24" i="3"/>
  <c r="N24" i="3"/>
  <c r="N23" i="3"/>
  <c r="P23" i="3"/>
  <c r="AZ24" i="3"/>
  <c r="AS24" i="3"/>
  <c r="AJ24" i="3"/>
  <c r="M24" i="3"/>
  <c r="BC24" i="3"/>
  <c r="AI24" i="3"/>
  <c r="L24" i="3"/>
  <c r="AC24" i="3"/>
  <c r="AD24" i="3"/>
  <c r="AB24" i="3"/>
  <c r="Z24" i="3"/>
  <c r="Y24" i="3"/>
  <c r="V24" i="3"/>
  <c r="J24" i="3"/>
  <c r="B24" i="3"/>
  <c r="B23" i="3"/>
  <c r="Y22" i="3"/>
  <c r="X22" i="3"/>
  <c r="V22" i="3"/>
  <c r="AR22" i="3"/>
  <c r="N22" i="3"/>
  <c r="Y21" i="3"/>
  <c r="X21" i="3"/>
  <c r="V21" i="3"/>
  <c r="AR21" i="3"/>
  <c r="N21" i="3"/>
  <c r="Y20" i="3"/>
  <c r="X20" i="3"/>
  <c r="V20" i="3"/>
  <c r="AR20" i="3"/>
  <c r="N20" i="3"/>
  <c r="R20" i="3"/>
  <c r="Y13" i="3"/>
  <c r="X13" i="3"/>
  <c r="V13" i="3"/>
  <c r="AR13" i="3"/>
  <c r="N13" i="3"/>
  <c r="O13" i="3"/>
  <c r="L24" i="4"/>
  <c r="Y14" i="3"/>
  <c r="X14" i="3"/>
  <c r="V14" i="3"/>
  <c r="AR14" i="3"/>
  <c r="N14" i="3"/>
  <c r="Y15" i="3"/>
  <c r="X15" i="3"/>
  <c r="V15" i="3"/>
  <c r="AR15" i="3"/>
  <c r="N15" i="3"/>
  <c r="Y16" i="3"/>
  <c r="X16" i="3"/>
  <c r="V16" i="3"/>
  <c r="AR16" i="3"/>
  <c r="N16" i="3"/>
  <c r="O16" i="3"/>
  <c r="L27" i="4"/>
  <c r="X17" i="3"/>
  <c r="AE8" i="3"/>
  <c r="AF8" i="3"/>
  <c r="AG8" i="3"/>
  <c r="AH8" i="3"/>
  <c r="K8" i="3"/>
  <c r="AT8" i="3"/>
  <c r="AW19" i="3"/>
  <c r="AV19" i="3"/>
  <c r="AW18" i="3"/>
  <c r="AV18" i="3"/>
  <c r="AF12" i="3"/>
  <c r="AE12" i="3"/>
  <c r="AG12" i="3"/>
  <c r="V8" i="3"/>
  <c r="Z8" i="3"/>
  <c r="Z9" i="3"/>
  <c r="X9" i="3"/>
  <c r="X8" i="3"/>
  <c r="D36" i="4"/>
  <c r="D30" i="4"/>
  <c r="K37" i="2"/>
  <c r="M37" i="2"/>
  <c r="Z37" i="2"/>
  <c r="V37" i="2"/>
  <c r="T37" i="2"/>
  <c r="R37" i="2"/>
  <c r="P37" i="2"/>
  <c r="V36" i="2"/>
  <c r="T36" i="2"/>
  <c r="R36" i="2"/>
  <c r="P36" i="2"/>
  <c r="I37" i="2"/>
  <c r="G26" i="2"/>
  <c r="E28" i="18"/>
  <c r="G17" i="2"/>
  <c r="E19" i="18"/>
  <c r="G18" i="2"/>
  <c r="E20" i="18"/>
  <c r="G19" i="2"/>
  <c r="E21" i="18"/>
  <c r="G20" i="2"/>
  <c r="E22" i="18"/>
  <c r="G21" i="2"/>
  <c r="E23" i="18"/>
  <c r="G22" i="2"/>
  <c r="E24" i="18"/>
  <c r="G23" i="2"/>
  <c r="E25" i="18"/>
  <c r="G27" i="2"/>
  <c r="E29" i="18"/>
  <c r="G24" i="2"/>
  <c r="E26" i="18"/>
  <c r="D175" i="4"/>
  <c r="E175" i="4"/>
  <c r="F175" i="4"/>
  <c r="G175" i="4"/>
  <c r="I175" i="4"/>
  <c r="AR169" i="3"/>
  <c r="AQ169" i="3"/>
  <c r="L169" i="3"/>
  <c r="J175" i="4"/>
  <c r="N175" i="4"/>
  <c r="H175" i="4"/>
  <c r="B169" i="3"/>
  <c r="M168" i="3"/>
  <c r="L168" i="3"/>
  <c r="J174" i="4"/>
  <c r="N174" i="4"/>
  <c r="AJ168" i="3"/>
  <c r="AI168" i="3"/>
  <c r="AS168" i="3"/>
  <c r="AJ57" i="3"/>
  <c r="M57" i="3"/>
  <c r="BC57" i="3"/>
  <c r="AC57" i="3"/>
  <c r="AB57" i="3"/>
  <c r="Z57" i="3"/>
  <c r="W57" i="3"/>
  <c r="X57" i="3"/>
  <c r="N57" i="3"/>
  <c r="K67" i="4"/>
  <c r="J57" i="3"/>
  <c r="H67" i="4"/>
  <c r="E57" i="3"/>
  <c r="C67" i="4"/>
  <c r="AJ45" i="3"/>
  <c r="M45" i="3"/>
  <c r="BC45" i="3"/>
  <c r="AC45" i="3"/>
  <c r="AB45" i="3"/>
  <c r="AA45" i="3"/>
  <c r="Z45" i="3"/>
  <c r="W45" i="3"/>
  <c r="X45" i="3"/>
  <c r="V45" i="3"/>
  <c r="N45" i="3"/>
  <c r="K55" i="4"/>
  <c r="J45" i="3"/>
  <c r="H55" i="4"/>
  <c r="E45" i="3"/>
  <c r="AU19" i="3"/>
  <c r="AI19" i="3"/>
  <c r="L19" i="3"/>
  <c r="J30" i="4"/>
  <c r="AJ19" i="3"/>
  <c r="M19" i="3"/>
  <c r="BC19" i="3"/>
  <c r="AC19" i="3"/>
  <c r="AB19" i="3"/>
  <c r="Z19" i="3"/>
  <c r="W19" i="3"/>
  <c r="N19" i="3"/>
  <c r="AD19" i="3"/>
  <c r="J19" i="3"/>
  <c r="H30" i="4"/>
  <c r="E19" i="3"/>
  <c r="A19" i="3"/>
  <c r="B30" i="4"/>
  <c r="H58" i="2"/>
  <c r="H59" i="2"/>
  <c r="H11" i="18"/>
  <c r="C18" i="4"/>
  <c r="C21" i="5"/>
  <c r="H21" i="5"/>
  <c r="O21" i="5"/>
  <c r="S21" i="5"/>
  <c r="Y21" i="5"/>
  <c r="Z21" i="5"/>
  <c r="AG21" i="5"/>
  <c r="AH21" i="5"/>
  <c r="AI21" i="5"/>
  <c r="AJ21" i="5"/>
  <c r="C22" i="5"/>
  <c r="H22" i="5"/>
  <c r="O22" i="5"/>
  <c r="S22" i="5"/>
  <c r="Y22" i="5"/>
  <c r="Z22" i="5"/>
  <c r="AG22" i="5"/>
  <c r="AH22" i="5"/>
  <c r="AI22" i="5"/>
  <c r="AJ22" i="5"/>
  <c r="C23" i="5"/>
  <c r="H23" i="5"/>
  <c r="O23" i="5"/>
  <c r="S23" i="5"/>
  <c r="Y23" i="5"/>
  <c r="Z23" i="5"/>
  <c r="AG23" i="5"/>
  <c r="AH23" i="5"/>
  <c r="AI23" i="5"/>
  <c r="AJ23" i="5"/>
  <c r="C27" i="17"/>
  <c r="F27" i="17"/>
  <c r="H27" i="17"/>
  <c r="O27" i="17"/>
  <c r="S27" i="17"/>
  <c r="T27" i="17"/>
  <c r="AG27" i="17"/>
  <c r="AH27" i="17"/>
  <c r="C28" i="17"/>
  <c r="F28" i="17"/>
  <c r="H28" i="17"/>
  <c r="O28" i="17"/>
  <c r="S28" i="17"/>
  <c r="T28" i="17"/>
  <c r="AG28" i="17"/>
  <c r="AH28" i="17"/>
  <c r="C29" i="17"/>
  <c r="F29" i="17"/>
  <c r="H29" i="17"/>
  <c r="O29" i="17"/>
  <c r="S29" i="17"/>
  <c r="T29" i="17"/>
  <c r="AG29" i="17"/>
  <c r="AH29" i="17"/>
  <c r="C30" i="17"/>
  <c r="F30" i="17"/>
  <c r="H30" i="17"/>
  <c r="O30" i="17"/>
  <c r="S30" i="17"/>
  <c r="T30" i="17"/>
  <c r="AG30" i="17"/>
  <c r="AH30" i="17"/>
  <c r="C31" i="17"/>
  <c r="F31" i="17"/>
  <c r="H31" i="17"/>
  <c r="O31" i="17"/>
  <c r="S31" i="17"/>
  <c r="T31" i="17"/>
  <c r="AG31" i="17"/>
  <c r="AH31" i="17"/>
  <c r="C32" i="17"/>
  <c r="F32" i="17"/>
  <c r="H32" i="17"/>
  <c r="O32" i="17"/>
  <c r="S32" i="17"/>
  <c r="T32" i="17"/>
  <c r="AG32" i="17"/>
  <c r="AH32" i="17"/>
  <c r="C33" i="17"/>
  <c r="F33" i="17"/>
  <c r="H33" i="17"/>
  <c r="O33" i="17"/>
  <c r="S33" i="17"/>
  <c r="T33" i="17"/>
  <c r="AG33" i="17"/>
  <c r="AH33" i="17"/>
  <c r="C34" i="17"/>
  <c r="F34" i="17"/>
  <c r="H34" i="17"/>
  <c r="O34" i="17"/>
  <c r="S34" i="17"/>
  <c r="T34" i="17"/>
  <c r="AG34" i="17"/>
  <c r="AH34" i="17"/>
  <c r="C25" i="17"/>
  <c r="F25" i="17"/>
  <c r="H25" i="17"/>
  <c r="O25" i="17"/>
  <c r="S25" i="17"/>
  <c r="T25" i="17"/>
  <c r="AG25" i="17"/>
  <c r="AH25" i="17"/>
  <c r="C26" i="17"/>
  <c r="F26" i="17"/>
  <c r="H26" i="17"/>
  <c r="O26" i="17"/>
  <c r="S26" i="17"/>
  <c r="T26" i="17"/>
  <c r="AG26" i="17"/>
  <c r="AH26" i="17"/>
  <c r="C35" i="17"/>
  <c r="F35" i="17"/>
  <c r="H35" i="17"/>
  <c r="O35" i="17"/>
  <c r="S35" i="17"/>
  <c r="T35" i="17"/>
  <c r="AG35" i="17"/>
  <c r="AH35" i="17"/>
  <c r="C24" i="5"/>
  <c r="H24" i="5"/>
  <c r="O24" i="5"/>
  <c r="S24" i="5"/>
  <c r="Y24" i="5"/>
  <c r="Z24" i="5"/>
  <c r="AG24" i="5"/>
  <c r="AH24" i="5"/>
  <c r="AI24" i="5"/>
  <c r="AJ24" i="5"/>
  <c r="C25" i="5"/>
  <c r="O25" i="5"/>
  <c r="S25" i="5"/>
  <c r="Y25" i="5"/>
  <c r="Z25" i="5"/>
  <c r="H25" i="5"/>
  <c r="AG25" i="5"/>
  <c r="AH25" i="5"/>
  <c r="AI25" i="5"/>
  <c r="AJ25" i="5"/>
  <c r="O17" i="17"/>
  <c r="H17" i="17"/>
  <c r="F17" i="17"/>
  <c r="J18" i="3"/>
  <c r="H29" i="4"/>
  <c r="G24" i="6"/>
  <c r="G22" i="6"/>
  <c r="G20" i="6"/>
  <c r="G18" i="6"/>
  <c r="G16" i="6"/>
  <c r="K16" i="6"/>
  <c r="V16" i="6"/>
  <c r="AI18" i="5"/>
  <c r="AJ18" i="5"/>
  <c r="AI19" i="5"/>
  <c r="AJ19" i="5"/>
  <c r="AI20" i="5"/>
  <c r="AJ20" i="5"/>
  <c r="AI26" i="5"/>
  <c r="AJ26" i="5"/>
  <c r="AJ17" i="5"/>
  <c r="AI17" i="5"/>
  <c r="AI16" i="5"/>
  <c r="AJ16" i="5"/>
  <c r="AI12" i="5"/>
  <c r="AJ12" i="5"/>
  <c r="AI13" i="5"/>
  <c r="AJ13" i="5"/>
  <c r="AI14" i="5"/>
  <c r="AJ14" i="5"/>
  <c r="AI15" i="5"/>
  <c r="AJ15" i="5"/>
  <c r="AI11" i="5"/>
  <c r="AJ11" i="5"/>
  <c r="H24" i="6"/>
  <c r="L24" i="6"/>
  <c r="O24" i="6"/>
  <c r="O22" i="6"/>
  <c r="P24" i="6"/>
  <c r="P22" i="6"/>
  <c r="Q24" i="6"/>
  <c r="Q22" i="6"/>
  <c r="E20" i="6"/>
  <c r="F20" i="6"/>
  <c r="H22" i="6"/>
  <c r="E24" i="6"/>
  <c r="E22" i="6"/>
  <c r="F22" i="6"/>
  <c r="H20" i="6"/>
  <c r="N20" i="6"/>
  <c r="H18" i="6"/>
  <c r="H16" i="6"/>
  <c r="D82" i="6"/>
  <c r="S82" i="6"/>
  <c r="A82" i="6"/>
  <c r="D83" i="6"/>
  <c r="E83" i="6"/>
  <c r="F83" i="6"/>
  <c r="A83" i="6"/>
  <c r="D81" i="6"/>
  <c r="Q81" i="6"/>
  <c r="O81" i="6"/>
  <c r="A81" i="6"/>
  <c r="N18" i="11"/>
  <c r="P18" i="11"/>
  <c r="O116" i="6"/>
  <c r="P116" i="6"/>
  <c r="O112" i="6"/>
  <c r="O111" i="6"/>
  <c r="P111" i="6"/>
  <c r="O110" i="6"/>
  <c r="P110" i="6"/>
  <c r="Q110" i="6"/>
  <c r="AA110" i="6"/>
  <c r="O115" i="6"/>
  <c r="P115" i="6"/>
  <c r="O105" i="6"/>
  <c r="Q105" i="6"/>
  <c r="AA105" i="6"/>
  <c r="O104" i="6"/>
  <c r="Q104" i="6"/>
  <c r="O101" i="6"/>
  <c r="P101" i="6"/>
  <c r="Q101" i="6"/>
  <c r="AA101" i="6"/>
  <c r="O100" i="6"/>
  <c r="O99" i="6"/>
  <c r="P99" i="6"/>
  <c r="Z99" i="6"/>
  <c r="Q99" i="6"/>
  <c r="Q111" i="6"/>
  <c r="BB166" i="3"/>
  <c r="BA166" i="3"/>
  <c r="BB162" i="3"/>
  <c r="BA163" i="3"/>
  <c r="BB163" i="3"/>
  <c r="BB161" i="3"/>
  <c r="BA161" i="3"/>
  <c r="BB158" i="3"/>
  <c r="BA158" i="3"/>
  <c r="BB124" i="3"/>
  <c r="BA124" i="3"/>
  <c r="BB95" i="3"/>
  <c r="BA95" i="3"/>
  <c r="BB94" i="3"/>
  <c r="BA94" i="3"/>
  <c r="BA90" i="3"/>
  <c r="BB90" i="3"/>
  <c r="BA91" i="3"/>
  <c r="BB85" i="3"/>
  <c r="BB91" i="3"/>
  <c r="BB92" i="3"/>
  <c r="BA92" i="3"/>
  <c r="BB168" i="3"/>
  <c r="BA168" i="3"/>
  <c r="BB165" i="3"/>
  <c r="BA165" i="3"/>
  <c r="BB147" i="3"/>
  <c r="BA147" i="3"/>
  <c r="BB97" i="3"/>
  <c r="BA97" i="3"/>
  <c r="BB93" i="3"/>
  <c r="BA93" i="3"/>
  <c r="BB84" i="3"/>
  <c r="BA84" i="3"/>
  <c r="BA76" i="3"/>
  <c r="BB76" i="3"/>
  <c r="BB75" i="3"/>
  <c r="BA75" i="3"/>
  <c r="BB64" i="3"/>
  <c r="BA64" i="3"/>
  <c r="BB66" i="3"/>
  <c r="BA66" i="3"/>
  <c r="BB69" i="3"/>
  <c r="BA69" i="3"/>
  <c r="BB29" i="3"/>
  <c r="BA29" i="3"/>
  <c r="BB31" i="3"/>
  <c r="BA31" i="3"/>
  <c r="AC145" i="3"/>
  <c r="AD145" i="3"/>
  <c r="AC146" i="3"/>
  <c r="AD146" i="3"/>
  <c r="AC96" i="3"/>
  <c r="AD96" i="3"/>
  <c r="AD98" i="3"/>
  <c r="AC168" i="3"/>
  <c r="AD168" i="3"/>
  <c r="AC167" i="3"/>
  <c r="AD167" i="3"/>
  <c r="N168" i="3"/>
  <c r="N167" i="3"/>
  <c r="K173" i="4"/>
  <c r="AC157" i="3"/>
  <c r="AD157" i="3"/>
  <c r="N157" i="3"/>
  <c r="K163" i="4"/>
  <c r="AC147" i="3"/>
  <c r="AD147" i="3"/>
  <c r="N147" i="3"/>
  <c r="Q147" i="3"/>
  <c r="N146" i="3"/>
  <c r="K152" i="4"/>
  <c r="N145" i="3"/>
  <c r="R145" i="3"/>
  <c r="S145" i="3"/>
  <c r="AC142" i="3"/>
  <c r="AD142" i="3"/>
  <c r="N142" i="3"/>
  <c r="R142" i="3"/>
  <c r="S142" i="3"/>
  <c r="AC123" i="3"/>
  <c r="AD123" i="3"/>
  <c r="AC122" i="3"/>
  <c r="AD122" i="3"/>
  <c r="N122" i="3"/>
  <c r="O122" i="3"/>
  <c r="L129" i="4"/>
  <c r="N123" i="3"/>
  <c r="T123" i="3"/>
  <c r="AC107" i="3"/>
  <c r="AD107" i="3"/>
  <c r="N121" i="3"/>
  <c r="P121" i="3"/>
  <c r="Q121" i="3"/>
  <c r="N120" i="3"/>
  <c r="R120" i="3"/>
  <c r="N119" i="3"/>
  <c r="P119" i="3"/>
  <c r="Q119" i="3"/>
  <c r="N115" i="3"/>
  <c r="N116" i="3"/>
  <c r="K123" i="4"/>
  <c r="N114" i="3"/>
  <c r="P114" i="3"/>
  <c r="N113" i="3"/>
  <c r="S113" i="3"/>
  <c r="N111" i="3"/>
  <c r="K119" i="4"/>
  <c r="N110" i="3"/>
  <c r="P110" i="3"/>
  <c r="Q110" i="3"/>
  <c r="N109" i="3"/>
  <c r="N106" i="3"/>
  <c r="N107" i="3"/>
  <c r="P107" i="3"/>
  <c r="N103" i="3"/>
  <c r="AC104" i="3"/>
  <c r="AD104" i="3"/>
  <c r="AC97" i="3"/>
  <c r="AD97" i="3"/>
  <c r="AC94" i="3"/>
  <c r="AD94" i="3"/>
  <c r="N94" i="3"/>
  <c r="R94" i="3"/>
  <c r="S94" i="3"/>
  <c r="AC92" i="3"/>
  <c r="AD92" i="3"/>
  <c r="AC91" i="3"/>
  <c r="AD91" i="3"/>
  <c r="AC90" i="3"/>
  <c r="AD90" i="3"/>
  <c r="AC93" i="3"/>
  <c r="AD93" i="3"/>
  <c r="N90" i="3"/>
  <c r="R90" i="3"/>
  <c r="S90" i="3"/>
  <c r="N93" i="3"/>
  <c r="N92" i="3"/>
  <c r="R92" i="3"/>
  <c r="S92" i="3"/>
  <c r="N91" i="3"/>
  <c r="T91" i="3"/>
  <c r="AC89" i="3"/>
  <c r="AD89" i="3"/>
  <c r="AC88" i="3"/>
  <c r="AD88" i="3"/>
  <c r="AC87" i="3"/>
  <c r="AD87" i="3"/>
  <c r="N89" i="3"/>
  <c r="O89" i="3"/>
  <c r="L97" i="4"/>
  <c r="N88" i="3"/>
  <c r="T88" i="3"/>
  <c r="N87" i="3"/>
  <c r="T87" i="3"/>
  <c r="AC84" i="3"/>
  <c r="AD84" i="3"/>
  <c r="N84" i="3"/>
  <c r="P84" i="3"/>
  <c r="N80" i="3"/>
  <c r="K88" i="4"/>
  <c r="N78" i="3"/>
  <c r="T78" i="3"/>
  <c r="N73" i="3"/>
  <c r="P73" i="3"/>
  <c r="AC69" i="3"/>
  <c r="AC66" i="3"/>
  <c r="N69" i="3"/>
  <c r="P69" i="3"/>
  <c r="AC61" i="3"/>
  <c r="AD61" i="3"/>
  <c r="AC60" i="3"/>
  <c r="AD60" i="3"/>
  <c r="AC59" i="3"/>
  <c r="AD59" i="3"/>
  <c r="AC58" i="3"/>
  <c r="AD58" i="3"/>
  <c r="AC56" i="3"/>
  <c r="AC55" i="3"/>
  <c r="AD55" i="3"/>
  <c r="AC54" i="3"/>
  <c r="AD54" i="3"/>
  <c r="AC53" i="3"/>
  <c r="AD53" i="3"/>
  <c r="AC52" i="3"/>
  <c r="AD52" i="3"/>
  <c r="AC51" i="3"/>
  <c r="AD51" i="3"/>
  <c r="N61" i="3"/>
  <c r="N60" i="3"/>
  <c r="P60" i="3"/>
  <c r="N59" i="3"/>
  <c r="N58" i="3"/>
  <c r="T58" i="3"/>
  <c r="N56" i="3"/>
  <c r="N55" i="3"/>
  <c r="T55" i="3"/>
  <c r="N54" i="3"/>
  <c r="N53" i="3"/>
  <c r="K63" i="4"/>
  <c r="N52" i="3"/>
  <c r="K62" i="4"/>
  <c r="N51" i="3"/>
  <c r="AC50" i="3"/>
  <c r="AD50" i="3"/>
  <c r="AC49" i="3"/>
  <c r="AD49" i="3"/>
  <c r="AC48" i="3"/>
  <c r="AD48" i="3"/>
  <c r="AC47" i="3"/>
  <c r="AD47" i="3"/>
  <c r="AC46" i="3"/>
  <c r="AD46" i="3"/>
  <c r="AC44" i="3"/>
  <c r="AC42" i="3"/>
  <c r="AD42" i="3"/>
  <c r="AC43" i="3"/>
  <c r="AD43" i="3"/>
  <c r="N50" i="3"/>
  <c r="N49" i="3"/>
  <c r="N48" i="3"/>
  <c r="N47" i="3"/>
  <c r="P47" i="3"/>
  <c r="N46" i="3"/>
  <c r="N44" i="3"/>
  <c r="R44" i="3"/>
  <c r="S44" i="3"/>
  <c r="N42" i="3"/>
  <c r="K53" i="4"/>
  <c r="N43" i="3"/>
  <c r="P43" i="3"/>
  <c r="N41" i="3"/>
  <c r="R41" i="3"/>
  <c r="AC41" i="3"/>
  <c r="AD41" i="3"/>
  <c r="AC40" i="3"/>
  <c r="AD40" i="3"/>
  <c r="AC39" i="3"/>
  <c r="AC38" i="3"/>
  <c r="AD38" i="3"/>
  <c r="AC37" i="3"/>
  <c r="AD37" i="3"/>
  <c r="AC36" i="3"/>
  <c r="AD36" i="3"/>
  <c r="N40" i="3"/>
  <c r="O40" i="3"/>
  <c r="L50" i="4"/>
  <c r="N39" i="3"/>
  <c r="P39" i="3"/>
  <c r="N38" i="3"/>
  <c r="O38" i="3"/>
  <c r="N37" i="3"/>
  <c r="O37" i="3"/>
  <c r="L47" i="4"/>
  <c r="N36" i="3"/>
  <c r="AC31" i="3"/>
  <c r="AC30" i="3"/>
  <c r="AD30" i="3"/>
  <c r="AC29" i="3"/>
  <c r="AC28" i="3"/>
  <c r="AD28" i="3"/>
  <c r="N28" i="3"/>
  <c r="AC27" i="3"/>
  <c r="AD27" i="3"/>
  <c r="AC26" i="3"/>
  <c r="AC25" i="3"/>
  <c r="AD25" i="3"/>
  <c r="N27" i="3"/>
  <c r="P27" i="3"/>
  <c r="N26" i="3"/>
  <c r="T26" i="3"/>
  <c r="U26" i="3"/>
  <c r="N25" i="3"/>
  <c r="P25" i="3"/>
  <c r="AC23" i="3"/>
  <c r="AD23" i="3"/>
  <c r="AC22" i="3"/>
  <c r="AD22" i="3"/>
  <c r="AC21" i="3"/>
  <c r="AD21" i="3"/>
  <c r="AC20" i="3"/>
  <c r="AD20" i="3"/>
  <c r="AC18" i="3"/>
  <c r="AC17" i="3"/>
  <c r="AD17" i="3"/>
  <c r="AC16" i="3"/>
  <c r="AD16" i="3"/>
  <c r="AC15" i="3"/>
  <c r="AD15" i="3"/>
  <c r="AC14" i="3"/>
  <c r="AD14" i="3"/>
  <c r="AC13" i="3"/>
  <c r="AD13" i="3"/>
  <c r="N18" i="3"/>
  <c r="N17" i="3"/>
  <c r="R17" i="3"/>
  <c r="D59" i="6"/>
  <c r="D58" i="6"/>
  <c r="E58" i="6"/>
  <c r="F58" i="6"/>
  <c r="D57" i="6"/>
  <c r="S57" i="6"/>
  <c r="D65" i="6"/>
  <c r="E65" i="6"/>
  <c r="F65" i="6"/>
  <c r="D64" i="6"/>
  <c r="D63" i="6"/>
  <c r="AL63" i="6"/>
  <c r="B62" i="6"/>
  <c r="A62" i="6"/>
  <c r="B61" i="6"/>
  <c r="A61" i="6"/>
  <c r="B44" i="6"/>
  <c r="A44" i="6"/>
  <c r="C93" i="6"/>
  <c r="A93" i="6"/>
  <c r="E111" i="6"/>
  <c r="E112" i="6"/>
  <c r="F112" i="6"/>
  <c r="B9" i="8"/>
  <c r="J10" i="8"/>
  <c r="J8" i="2"/>
  <c r="C12" i="18"/>
  <c r="X126" i="8"/>
  <c r="X127" i="8"/>
  <c r="W126" i="8"/>
  <c r="W127" i="8"/>
  <c r="V126" i="8"/>
  <c r="V127" i="8"/>
  <c r="U126" i="8"/>
  <c r="U127" i="8"/>
  <c r="T126" i="8"/>
  <c r="S126" i="8"/>
  <c r="S127" i="8"/>
  <c r="R126" i="8"/>
  <c r="R127" i="8"/>
  <c r="Q126" i="8"/>
  <c r="Q127" i="8"/>
  <c r="P126" i="8"/>
  <c r="O126" i="8"/>
  <c r="O127" i="8"/>
  <c r="N126" i="8"/>
  <c r="N127" i="8"/>
  <c r="M126" i="8"/>
  <c r="M127" i="8"/>
  <c r="L126" i="8"/>
  <c r="L127" i="8"/>
  <c r="K126" i="8"/>
  <c r="K127" i="8"/>
  <c r="J126" i="8"/>
  <c r="J127" i="8"/>
  <c r="I126" i="8"/>
  <c r="I127" i="8"/>
  <c r="H126" i="8"/>
  <c r="G126" i="8"/>
  <c r="G127" i="8"/>
  <c r="F126" i="8"/>
  <c r="E126" i="8"/>
  <c r="E127" i="8"/>
  <c r="D126" i="8"/>
  <c r="D70" i="6"/>
  <c r="E70" i="6"/>
  <c r="F70" i="6"/>
  <c r="D69" i="6"/>
  <c r="S69" i="6"/>
  <c r="D68" i="6"/>
  <c r="AL68" i="6"/>
  <c r="B67" i="6"/>
  <c r="A67" i="6"/>
  <c r="E115" i="6"/>
  <c r="E110" i="6"/>
  <c r="F110" i="6"/>
  <c r="E105" i="6"/>
  <c r="E104" i="6"/>
  <c r="F104" i="6"/>
  <c r="J2" i="14"/>
  <c r="H47" i="14"/>
  <c r="I47" i="14"/>
  <c r="J1" i="14"/>
  <c r="B145" i="14"/>
  <c r="C145" i="14"/>
  <c r="Z17" i="5"/>
  <c r="Z18" i="5"/>
  <c r="Z19" i="5"/>
  <c r="Z20" i="5"/>
  <c r="Z26" i="5"/>
  <c r="Z16" i="5"/>
  <c r="H16" i="5"/>
  <c r="H17" i="5"/>
  <c r="H18" i="5"/>
  <c r="H19" i="5"/>
  <c r="H20" i="5"/>
  <c r="H26" i="5"/>
  <c r="N26" i="2"/>
  <c r="N25" i="2"/>
  <c r="N29" i="2"/>
  <c r="AB23" i="2"/>
  <c r="AB22" i="2"/>
  <c r="AB21" i="2"/>
  <c r="AB20" i="2"/>
  <c r="AB19" i="2"/>
  <c r="AB18" i="2"/>
  <c r="AB17" i="2"/>
  <c r="AA23" i="2"/>
  <c r="AA22" i="2"/>
  <c r="AA21" i="2"/>
  <c r="AA20" i="2"/>
  <c r="AA19" i="2"/>
  <c r="AA18" i="2"/>
  <c r="AA17" i="2"/>
  <c r="Z23" i="2"/>
  <c r="Z22" i="2"/>
  <c r="Z21" i="2"/>
  <c r="Z20" i="2"/>
  <c r="Z19" i="2"/>
  <c r="Z18" i="2"/>
  <c r="Z17" i="2"/>
  <c r="Y23" i="2"/>
  <c r="Y22" i="2"/>
  <c r="Y21" i="2"/>
  <c r="Y20" i="2"/>
  <c r="Y19" i="2"/>
  <c r="Y18" i="2"/>
  <c r="Y17" i="2"/>
  <c r="X23" i="2"/>
  <c r="X22" i="2"/>
  <c r="X21" i="2"/>
  <c r="X20" i="2"/>
  <c r="X19" i="2"/>
  <c r="X18" i="2"/>
  <c r="X17" i="2"/>
  <c r="W23" i="2"/>
  <c r="W22" i="2"/>
  <c r="W21" i="2"/>
  <c r="W20" i="2"/>
  <c r="W19" i="2"/>
  <c r="W18" i="2"/>
  <c r="W17" i="2"/>
  <c r="V23" i="2"/>
  <c r="V22" i="2"/>
  <c r="V21" i="2"/>
  <c r="V20" i="2"/>
  <c r="V19" i="2"/>
  <c r="V18" i="2"/>
  <c r="V17" i="2"/>
  <c r="U23" i="2"/>
  <c r="U22" i="2"/>
  <c r="U21" i="2"/>
  <c r="U20" i="2"/>
  <c r="U19" i="2"/>
  <c r="U18" i="2"/>
  <c r="U17" i="2"/>
  <c r="T23" i="2"/>
  <c r="T22" i="2"/>
  <c r="T21" i="2"/>
  <c r="T20" i="2"/>
  <c r="T19" i="2"/>
  <c r="T18" i="2"/>
  <c r="T17" i="2"/>
  <c r="S23" i="2"/>
  <c r="S22" i="2"/>
  <c r="S21" i="2"/>
  <c r="S20" i="2"/>
  <c r="S19" i="2"/>
  <c r="S18" i="2"/>
  <c r="S17" i="2"/>
  <c r="R23" i="2"/>
  <c r="R22" i="2"/>
  <c r="R21" i="2"/>
  <c r="R20" i="2"/>
  <c r="R19" i="2"/>
  <c r="R18" i="2"/>
  <c r="R17" i="2"/>
  <c r="Q23" i="2"/>
  <c r="Q22" i="2"/>
  <c r="Q21" i="2"/>
  <c r="Q20" i="2"/>
  <c r="Q19" i="2"/>
  <c r="Q18" i="2"/>
  <c r="Q17" i="2"/>
  <c r="P23" i="2"/>
  <c r="P22" i="2"/>
  <c r="P21" i="2"/>
  <c r="P20" i="2"/>
  <c r="P19" i="2"/>
  <c r="P18" i="2"/>
  <c r="P17" i="2"/>
  <c r="O23" i="2"/>
  <c r="O22" i="2"/>
  <c r="O21" i="2"/>
  <c r="O20" i="2"/>
  <c r="O19" i="2"/>
  <c r="O18" i="2"/>
  <c r="O17" i="2"/>
  <c r="N23" i="2"/>
  <c r="N22" i="2"/>
  <c r="N21" i="2"/>
  <c r="N20" i="2"/>
  <c r="N19" i="2"/>
  <c r="N18" i="2"/>
  <c r="N17" i="2"/>
  <c r="L165" i="3"/>
  <c r="J171" i="4"/>
  <c r="N171" i="4"/>
  <c r="L147" i="3"/>
  <c r="J153" i="4"/>
  <c r="N153" i="4"/>
  <c r="L113" i="3"/>
  <c r="J121" i="4"/>
  <c r="N121" i="4"/>
  <c r="L97" i="3"/>
  <c r="J105" i="4"/>
  <c r="N105" i="4"/>
  <c r="L86" i="3"/>
  <c r="J94" i="4"/>
  <c r="N94" i="4"/>
  <c r="L84" i="3"/>
  <c r="J92" i="4"/>
  <c r="N92" i="4"/>
  <c r="L64" i="3"/>
  <c r="J73" i="4"/>
  <c r="N73" i="4"/>
  <c r="L31" i="3"/>
  <c r="J41" i="4"/>
  <c r="N41" i="4"/>
  <c r="F90" i="6"/>
  <c r="F91" i="6"/>
  <c r="F89" i="6"/>
  <c r="S94" i="6"/>
  <c r="R94" i="6"/>
  <c r="Q94" i="6"/>
  <c r="P94" i="6"/>
  <c r="O94" i="6"/>
  <c r="AA94" i="6"/>
  <c r="H94" i="6"/>
  <c r="F94" i="6"/>
  <c r="C94" i="6"/>
  <c r="A94" i="6"/>
  <c r="S93" i="6"/>
  <c r="R93" i="6"/>
  <c r="Q93" i="6"/>
  <c r="P93" i="6"/>
  <c r="O93" i="6"/>
  <c r="H93" i="6"/>
  <c r="G93" i="6"/>
  <c r="B92" i="6"/>
  <c r="A92" i="6"/>
  <c r="AB91" i="6"/>
  <c r="S91" i="6"/>
  <c r="R91" i="6"/>
  <c r="Q91" i="6"/>
  <c r="O91" i="6"/>
  <c r="AA91" i="6"/>
  <c r="P91" i="6"/>
  <c r="H91" i="6"/>
  <c r="G91" i="6"/>
  <c r="A91" i="6"/>
  <c r="AB90" i="6"/>
  <c r="S90" i="6"/>
  <c r="R90" i="6"/>
  <c r="Q90" i="6"/>
  <c r="O90" i="6"/>
  <c r="AA90" i="6"/>
  <c r="P90" i="6"/>
  <c r="H90" i="6"/>
  <c r="A90" i="6"/>
  <c r="AB89" i="6"/>
  <c r="S89" i="6"/>
  <c r="R89" i="6"/>
  <c r="Q89" i="6"/>
  <c r="O89" i="6"/>
  <c r="P89" i="6"/>
  <c r="H89" i="6"/>
  <c r="N89" i="6"/>
  <c r="A89" i="6"/>
  <c r="A87" i="6"/>
  <c r="F24" i="6"/>
  <c r="F18" i="6"/>
  <c r="D53" i="6"/>
  <c r="S53" i="6"/>
  <c r="D54" i="6"/>
  <c r="E54" i="6"/>
  <c r="F54" i="6"/>
  <c r="D52" i="6"/>
  <c r="R52" i="6"/>
  <c r="D79" i="6"/>
  <c r="AL79" i="6"/>
  <c r="D80" i="6"/>
  <c r="E80" i="6"/>
  <c r="F80" i="6"/>
  <c r="D84" i="6"/>
  <c r="AL84" i="6"/>
  <c r="B77" i="6"/>
  <c r="A77" i="6"/>
  <c r="T127" i="8"/>
  <c r="H127" i="8"/>
  <c r="J129" i="8"/>
  <c r="F129" i="8"/>
  <c r="G129" i="8"/>
  <c r="D130" i="8"/>
  <c r="D131" i="8"/>
  <c r="D133" i="8"/>
  <c r="E130" i="8"/>
  <c r="F130" i="8"/>
  <c r="F131" i="8"/>
  <c r="D127" i="8"/>
  <c r="P127" i="8"/>
  <c r="X130" i="8"/>
  <c r="X131" i="8"/>
  <c r="W130" i="8"/>
  <c r="W131" i="8"/>
  <c r="V130" i="8"/>
  <c r="V131" i="8"/>
  <c r="U130" i="8"/>
  <c r="U131" i="8"/>
  <c r="T130" i="8"/>
  <c r="T131" i="8"/>
  <c r="S130" i="8"/>
  <c r="S131" i="8"/>
  <c r="R130" i="8"/>
  <c r="R131" i="8"/>
  <c r="Q130" i="8"/>
  <c r="Q131" i="8"/>
  <c r="P130" i="8"/>
  <c r="P131" i="8"/>
  <c r="O130" i="8"/>
  <c r="O131" i="8"/>
  <c r="O132" i="8"/>
  <c r="H84" i="6"/>
  <c r="N130" i="8"/>
  <c r="N131" i="8"/>
  <c r="M130" i="8"/>
  <c r="M131" i="8"/>
  <c r="L130" i="8"/>
  <c r="L131" i="8"/>
  <c r="K130" i="8"/>
  <c r="K131" i="8"/>
  <c r="J130" i="8"/>
  <c r="J131" i="8"/>
  <c r="I130" i="8"/>
  <c r="I131" i="8"/>
  <c r="H130" i="8"/>
  <c r="H131" i="8"/>
  <c r="H132" i="8"/>
  <c r="G130" i="8"/>
  <c r="G131" i="8"/>
  <c r="J124" i="8"/>
  <c r="D85" i="6"/>
  <c r="AK85" i="6"/>
  <c r="A85" i="6"/>
  <c r="A84" i="6"/>
  <c r="A80" i="6"/>
  <c r="A79" i="6"/>
  <c r="H116" i="6"/>
  <c r="H115" i="6"/>
  <c r="J115" i="6"/>
  <c r="AE115" i="6"/>
  <c r="H112" i="6"/>
  <c r="H111" i="6"/>
  <c r="H105" i="6"/>
  <c r="G105" i="6"/>
  <c r="H104" i="6"/>
  <c r="G101" i="6"/>
  <c r="G100" i="6"/>
  <c r="H99" i="6"/>
  <c r="X15" i="8"/>
  <c r="W15" i="8"/>
  <c r="V15" i="8"/>
  <c r="U15" i="8"/>
  <c r="T15" i="8"/>
  <c r="S15" i="8"/>
  <c r="R15" i="8"/>
  <c r="O15" i="8"/>
  <c r="N15" i="8"/>
  <c r="L28" i="8"/>
  <c r="K15" i="8"/>
  <c r="H15" i="8"/>
  <c r="G15" i="8"/>
  <c r="J15" i="8"/>
  <c r="F15" i="8"/>
  <c r="F16" i="8"/>
  <c r="F18" i="8"/>
  <c r="F20" i="8"/>
  <c r="X27" i="8"/>
  <c r="X40" i="8"/>
  <c r="W27" i="8"/>
  <c r="W40" i="8"/>
  <c r="V27" i="8"/>
  <c r="V40" i="8"/>
  <c r="U27" i="8"/>
  <c r="U40" i="8"/>
  <c r="T27" i="8"/>
  <c r="S27" i="8"/>
  <c r="R27" i="8"/>
  <c r="R14" i="8"/>
  <c r="Q27" i="8"/>
  <c r="Q40" i="8"/>
  <c r="P27" i="8"/>
  <c r="P40" i="8"/>
  <c r="O27" i="8"/>
  <c r="O40" i="8"/>
  <c r="N27" i="8"/>
  <c r="M27" i="8"/>
  <c r="M40" i="8"/>
  <c r="X42" i="8"/>
  <c r="W42" i="8"/>
  <c r="V42" i="8"/>
  <c r="U42" i="8"/>
  <c r="T42" i="8"/>
  <c r="S42" i="8"/>
  <c r="R42" i="8"/>
  <c r="Q42" i="8"/>
  <c r="P42" i="8"/>
  <c r="O42" i="8"/>
  <c r="N42" i="8"/>
  <c r="M42" i="8"/>
  <c r="M44" i="8"/>
  <c r="M47" i="8"/>
  <c r="L42" i="8"/>
  <c r="L44" i="8"/>
  <c r="K42" i="8"/>
  <c r="K44" i="8"/>
  <c r="J42" i="8"/>
  <c r="J44" i="8"/>
  <c r="J48" i="8"/>
  <c r="I42" i="8"/>
  <c r="I44" i="8"/>
  <c r="H42" i="8"/>
  <c r="H44" i="8"/>
  <c r="H45" i="8"/>
  <c r="G42" i="8"/>
  <c r="G44" i="8"/>
  <c r="F42" i="8"/>
  <c r="F44" i="8"/>
  <c r="E42" i="8"/>
  <c r="E44" i="8"/>
  <c r="E46" i="8"/>
  <c r="H32" i="6"/>
  <c r="D42" i="8"/>
  <c r="D44" i="8"/>
  <c r="D45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8" i="8"/>
  <c r="X29" i="8"/>
  <c r="W29" i="8"/>
  <c r="V29" i="8"/>
  <c r="U29" i="8"/>
  <c r="U31" i="8"/>
  <c r="T29" i="8"/>
  <c r="T31" i="8"/>
  <c r="T35" i="8"/>
  <c r="S29" i="8"/>
  <c r="R29" i="8"/>
  <c r="Q29" i="8"/>
  <c r="Q31" i="8"/>
  <c r="P29" i="8"/>
  <c r="P31" i="8"/>
  <c r="O29" i="8"/>
  <c r="O31" i="8"/>
  <c r="O32" i="8"/>
  <c r="Q58" i="6"/>
  <c r="O58" i="6"/>
  <c r="P58" i="6"/>
  <c r="N29" i="8"/>
  <c r="M29" i="8"/>
  <c r="L29" i="8"/>
  <c r="L31" i="8"/>
  <c r="L33" i="8"/>
  <c r="K29" i="8"/>
  <c r="K31" i="8"/>
  <c r="J29" i="8"/>
  <c r="J31" i="8"/>
  <c r="I29" i="8"/>
  <c r="I31" i="8"/>
  <c r="H29" i="8"/>
  <c r="H31" i="8"/>
  <c r="G29" i="8"/>
  <c r="G31" i="8"/>
  <c r="F29" i="8"/>
  <c r="F31" i="8"/>
  <c r="F34" i="8"/>
  <c r="E29" i="8"/>
  <c r="E31" i="8"/>
  <c r="D29" i="8"/>
  <c r="D31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5" i="8"/>
  <c r="R16" i="8"/>
  <c r="S16" i="8"/>
  <c r="T16" i="8"/>
  <c r="U16" i="8"/>
  <c r="V16" i="8"/>
  <c r="W16" i="8"/>
  <c r="X16" i="8"/>
  <c r="Q16" i="8"/>
  <c r="N16" i="8"/>
  <c r="O16" i="8"/>
  <c r="P16" i="8"/>
  <c r="M16" i="8"/>
  <c r="L16" i="8"/>
  <c r="L18" i="8"/>
  <c r="K16" i="8"/>
  <c r="K18" i="8"/>
  <c r="H16" i="8"/>
  <c r="H18" i="8"/>
  <c r="I16" i="8"/>
  <c r="I18" i="8"/>
  <c r="J16" i="8"/>
  <c r="J18" i="8"/>
  <c r="G16" i="8"/>
  <c r="G18" i="8"/>
  <c r="E16" i="8"/>
  <c r="E18" i="8"/>
  <c r="D16" i="8"/>
  <c r="D18" i="8"/>
  <c r="C12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D13" i="8"/>
  <c r="D114" i="14"/>
  <c r="E114" i="14"/>
  <c r="G27" i="9"/>
  <c r="D113" i="14"/>
  <c r="F26" i="9"/>
  <c r="F114" i="14"/>
  <c r="F113" i="14"/>
  <c r="H26" i="9"/>
  <c r="H114" i="14"/>
  <c r="I114" i="14"/>
  <c r="K27" i="9"/>
  <c r="H112" i="14"/>
  <c r="J25" i="9"/>
  <c r="H111" i="14"/>
  <c r="I111" i="14"/>
  <c r="K24" i="9"/>
  <c r="H110" i="14"/>
  <c r="J23" i="9"/>
  <c r="H109" i="14"/>
  <c r="F111" i="14"/>
  <c r="F110" i="14"/>
  <c r="G110" i="14"/>
  <c r="I23" i="9"/>
  <c r="F109" i="14"/>
  <c r="G109" i="14"/>
  <c r="I22" i="9"/>
  <c r="D111" i="14"/>
  <c r="F24" i="9"/>
  <c r="D110" i="14"/>
  <c r="F23" i="9"/>
  <c r="D109" i="14"/>
  <c r="E109" i="14"/>
  <c r="G22" i="9"/>
  <c r="B111" i="14"/>
  <c r="D24" i="9"/>
  <c r="B110" i="14"/>
  <c r="D23" i="9"/>
  <c r="B109" i="14"/>
  <c r="C109" i="14"/>
  <c r="E22" i="9"/>
  <c r="AZ146" i="3"/>
  <c r="AZ145" i="3"/>
  <c r="AZ124" i="3"/>
  <c r="AZ76" i="3"/>
  <c r="AZ103" i="3"/>
  <c r="AZ104" i="3"/>
  <c r="AZ82" i="3"/>
  <c r="AZ81" i="3"/>
  <c r="AZ157" i="3"/>
  <c r="AZ160" i="3"/>
  <c r="AZ161" i="3"/>
  <c r="AZ162" i="3"/>
  <c r="AZ163" i="3"/>
  <c r="AZ95" i="3"/>
  <c r="AZ107" i="3"/>
  <c r="AZ106" i="3"/>
  <c r="AZ108" i="3"/>
  <c r="AZ109" i="3"/>
  <c r="AZ110" i="3"/>
  <c r="AZ111" i="3"/>
  <c r="AZ112" i="3"/>
  <c r="AZ114" i="3"/>
  <c r="AZ118" i="3"/>
  <c r="AZ119" i="3"/>
  <c r="AZ120" i="3"/>
  <c r="AZ121" i="3"/>
  <c r="AZ115" i="3"/>
  <c r="AZ116" i="3"/>
  <c r="AZ122" i="3"/>
  <c r="AZ123" i="3"/>
  <c r="AZ89" i="3"/>
  <c r="AZ88" i="3"/>
  <c r="AZ102" i="3"/>
  <c r="AQ102" i="3"/>
  <c r="AZ101" i="3"/>
  <c r="AQ101" i="3"/>
  <c r="AZ100" i="3"/>
  <c r="AQ100" i="3"/>
  <c r="AZ99" i="3"/>
  <c r="AQ99" i="3"/>
  <c r="AZ96" i="3"/>
  <c r="AZ148" i="3"/>
  <c r="AZ164" i="3"/>
  <c r="AZ167" i="3"/>
  <c r="AZ49" i="3"/>
  <c r="AZ50" i="3"/>
  <c r="AZ48" i="3"/>
  <c r="AZ47" i="3"/>
  <c r="AZ46" i="3"/>
  <c r="AZ42" i="3"/>
  <c r="AZ45" i="3"/>
  <c r="AZ43" i="3"/>
  <c r="AZ27" i="3"/>
  <c r="AQ27" i="3"/>
  <c r="AZ25" i="3"/>
  <c r="AZ26" i="3"/>
  <c r="AZ87" i="3"/>
  <c r="AZ92" i="3"/>
  <c r="AZ91" i="3"/>
  <c r="AZ90" i="3"/>
  <c r="AZ113" i="3"/>
  <c r="AZ78" i="3"/>
  <c r="AZ79" i="3"/>
  <c r="AZ80" i="3"/>
  <c r="AZ30" i="3"/>
  <c r="AZ73" i="3"/>
  <c r="AZ28" i="3"/>
  <c r="AB63" i="3"/>
  <c r="V63" i="3"/>
  <c r="Z63" i="3"/>
  <c r="AA63" i="3"/>
  <c r="W63" i="3"/>
  <c r="P63" i="3"/>
  <c r="AZ63" i="3"/>
  <c r="AQ63" i="3"/>
  <c r="X63" i="3"/>
  <c r="AZ41" i="3"/>
  <c r="AZ40" i="3"/>
  <c r="AZ37" i="3"/>
  <c r="AZ38" i="3"/>
  <c r="AZ39" i="3"/>
  <c r="AZ36" i="3"/>
  <c r="Z23" i="3"/>
  <c r="Y23" i="3"/>
  <c r="V23" i="3"/>
  <c r="AB23" i="3"/>
  <c r="AZ23" i="3"/>
  <c r="AZ9" i="3"/>
  <c r="AZ8" i="3"/>
  <c r="AZ142" i="3"/>
  <c r="AZ158" i="3"/>
  <c r="AQ158" i="3"/>
  <c r="AR60" i="3"/>
  <c r="AR58" i="3"/>
  <c r="AR55" i="3"/>
  <c r="AR52" i="3"/>
  <c r="AR54" i="3"/>
  <c r="V17" i="3"/>
  <c r="V18" i="3"/>
  <c r="AZ68" i="3"/>
  <c r="AZ65" i="3"/>
  <c r="AZ59" i="3"/>
  <c r="AZ60" i="3"/>
  <c r="AZ61" i="3"/>
  <c r="AZ58" i="3"/>
  <c r="AZ55" i="3"/>
  <c r="AZ52" i="3"/>
  <c r="AZ53" i="3"/>
  <c r="AZ57" i="3"/>
  <c r="AZ54" i="3"/>
  <c r="AZ51" i="3"/>
  <c r="AZ21" i="3"/>
  <c r="AZ22" i="3"/>
  <c r="AZ20" i="3"/>
  <c r="AZ17" i="3"/>
  <c r="AZ18" i="3"/>
  <c r="AZ19" i="3"/>
  <c r="AZ16" i="3"/>
  <c r="AZ14" i="3"/>
  <c r="AZ15" i="3"/>
  <c r="AZ13" i="3"/>
  <c r="Y167" i="3"/>
  <c r="Y164" i="3"/>
  <c r="Y158" i="3"/>
  <c r="Y157" i="3"/>
  <c r="Y149" i="3"/>
  <c r="Y148" i="3"/>
  <c r="J147" i="3"/>
  <c r="H153" i="4"/>
  <c r="Y146" i="3"/>
  <c r="Y145" i="3"/>
  <c r="Y142" i="3"/>
  <c r="Y123" i="3"/>
  <c r="Y122" i="3"/>
  <c r="Y121" i="3"/>
  <c r="Y120" i="3"/>
  <c r="Y119" i="3"/>
  <c r="Y116" i="3"/>
  <c r="Y114" i="3"/>
  <c r="Y113" i="3"/>
  <c r="Y111" i="3"/>
  <c r="Y107" i="3"/>
  <c r="Y104" i="3"/>
  <c r="Y102" i="3"/>
  <c r="Y101" i="3"/>
  <c r="Y100" i="3"/>
  <c r="Y99" i="3"/>
  <c r="Y98" i="3"/>
  <c r="Y96" i="3"/>
  <c r="Y94" i="3"/>
  <c r="Y92" i="3"/>
  <c r="Y91" i="3"/>
  <c r="Y90" i="3"/>
  <c r="Y89" i="3"/>
  <c r="Y88" i="3"/>
  <c r="J88" i="3"/>
  <c r="H96" i="4"/>
  <c r="Y87" i="3"/>
  <c r="AC86" i="3"/>
  <c r="AD86" i="3"/>
  <c r="Y80" i="3"/>
  <c r="Y78" i="3"/>
  <c r="Y75" i="3"/>
  <c r="Y73" i="3"/>
  <c r="Y61" i="3"/>
  <c r="Y60" i="3"/>
  <c r="Y59" i="3"/>
  <c r="Y58" i="3"/>
  <c r="Y55" i="3"/>
  <c r="Y54" i="3"/>
  <c r="Y53" i="3"/>
  <c r="Y56" i="3"/>
  <c r="Y52" i="3"/>
  <c r="Y51" i="3"/>
  <c r="Y50" i="3"/>
  <c r="Y49" i="3"/>
  <c r="Y48" i="3"/>
  <c r="Y47" i="3"/>
  <c r="Y46" i="3"/>
  <c r="Y42" i="3"/>
  <c r="Y44" i="3"/>
  <c r="Y43" i="3"/>
  <c r="Y41" i="3"/>
  <c r="Y40" i="3"/>
  <c r="Y38" i="3"/>
  <c r="Y39" i="3"/>
  <c r="Y37" i="3"/>
  <c r="Y36" i="3"/>
  <c r="Y30" i="3"/>
  <c r="N29" i="3"/>
  <c r="K39" i="4"/>
  <c r="Y28" i="3"/>
  <c r="Y29" i="3"/>
  <c r="Y27" i="3"/>
  <c r="Y25" i="3"/>
  <c r="Y26" i="3"/>
  <c r="Y17" i="3"/>
  <c r="Y19" i="3"/>
  <c r="Y8" i="3"/>
  <c r="AH24" i="17"/>
  <c r="AH23" i="17"/>
  <c r="AH22" i="17"/>
  <c r="AH21" i="17"/>
  <c r="AH20" i="17"/>
  <c r="AH26" i="5"/>
  <c r="AH20" i="5"/>
  <c r="AH19" i="5"/>
  <c r="AH18" i="5"/>
  <c r="AH17" i="5"/>
  <c r="AH16" i="5"/>
  <c r="AH15" i="5"/>
  <c r="AH14" i="5"/>
  <c r="AH13" i="5"/>
  <c r="AH12" i="5"/>
  <c r="AH11" i="5"/>
  <c r="AR167" i="3"/>
  <c r="AR166" i="3"/>
  <c r="AR165" i="3"/>
  <c r="AR164" i="3"/>
  <c r="AR158" i="3"/>
  <c r="AR149" i="3"/>
  <c r="AR148" i="3"/>
  <c r="AR147" i="3"/>
  <c r="AR146" i="3"/>
  <c r="AR145" i="3"/>
  <c r="AR143" i="3"/>
  <c r="AR142" i="3"/>
  <c r="AR134" i="3"/>
  <c r="AR133" i="3"/>
  <c r="AR132" i="3"/>
  <c r="AR131" i="3"/>
  <c r="AR123" i="3"/>
  <c r="AR122" i="3"/>
  <c r="AR113" i="3"/>
  <c r="AR111" i="3"/>
  <c r="AR107" i="3"/>
  <c r="AR104" i="3"/>
  <c r="AR102" i="3"/>
  <c r="AR101" i="3"/>
  <c r="AR100" i="3"/>
  <c r="AR99" i="3"/>
  <c r="AR98" i="3"/>
  <c r="AR97" i="3"/>
  <c r="AR96" i="3"/>
  <c r="AR94" i="3"/>
  <c r="AR92" i="3"/>
  <c r="AR91" i="3"/>
  <c r="AR90" i="3"/>
  <c r="AR89" i="3"/>
  <c r="AR88" i="3"/>
  <c r="AR87" i="3"/>
  <c r="AR86" i="3"/>
  <c r="AR84" i="3"/>
  <c r="AR80" i="3"/>
  <c r="AR78" i="3"/>
  <c r="AR73" i="3"/>
  <c r="AR64" i="3"/>
  <c r="AR59" i="3"/>
  <c r="AR50" i="3"/>
  <c r="AR49" i="3"/>
  <c r="AR48" i="3"/>
  <c r="AR47" i="3"/>
  <c r="AR46" i="3"/>
  <c r="AR42" i="3"/>
  <c r="AR43" i="3"/>
  <c r="AR41" i="3"/>
  <c r="AR40" i="3"/>
  <c r="AR38" i="3"/>
  <c r="AR37" i="3"/>
  <c r="AR36" i="3"/>
  <c r="AR31" i="3"/>
  <c r="AR30" i="3"/>
  <c r="AR28" i="3"/>
  <c r="AR27" i="3"/>
  <c r="AR25" i="3"/>
  <c r="AR95" i="3"/>
  <c r="AR140" i="3"/>
  <c r="AQ139" i="3"/>
  <c r="AQ140" i="3"/>
  <c r="AQ132" i="3"/>
  <c r="AG17" i="5"/>
  <c r="AG18" i="5"/>
  <c r="AG19" i="5"/>
  <c r="AG20" i="5"/>
  <c r="AG26" i="5"/>
  <c r="AG16" i="5"/>
  <c r="AG12" i="5"/>
  <c r="AG13" i="5"/>
  <c r="AG14" i="5"/>
  <c r="AG15" i="5"/>
  <c r="AG11" i="5"/>
  <c r="AG20" i="17"/>
  <c r="AG21" i="17"/>
  <c r="AG22" i="17"/>
  <c r="AG23" i="17"/>
  <c r="AG24" i="17"/>
  <c r="AG13" i="17"/>
  <c r="AG12" i="17"/>
  <c r="AG11" i="17"/>
  <c r="AQ31" i="3"/>
  <c r="AQ64" i="3"/>
  <c r="AQ84" i="3"/>
  <c r="AQ86" i="3"/>
  <c r="AQ97" i="3"/>
  <c r="AQ113" i="3"/>
  <c r="AQ147" i="3"/>
  <c r="AQ165" i="3"/>
  <c r="E140" i="3"/>
  <c r="A140" i="3"/>
  <c r="B140" i="3"/>
  <c r="AZ156" i="3"/>
  <c r="AQ156" i="3"/>
  <c r="AZ143" i="3"/>
  <c r="AQ143" i="3"/>
  <c r="AZ94" i="3"/>
  <c r="AZ168" i="3"/>
  <c r="AZ165" i="3"/>
  <c r="AZ147" i="3"/>
  <c r="AZ97" i="3"/>
  <c r="AZ93" i="3"/>
  <c r="AZ84" i="3"/>
  <c r="AZ69" i="3"/>
  <c r="AZ66" i="3"/>
  <c r="AZ64" i="3"/>
  <c r="AZ31" i="3"/>
  <c r="C60" i="18"/>
  <c r="C61" i="18"/>
  <c r="C62" i="18"/>
  <c r="C63" i="18"/>
  <c r="C64" i="18"/>
  <c r="C65" i="18"/>
  <c r="C66" i="18"/>
  <c r="C67" i="18"/>
  <c r="C59" i="18"/>
  <c r="C10" i="18"/>
  <c r="K16" i="18"/>
  <c r="F26" i="18"/>
  <c r="F29" i="18"/>
  <c r="F33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B31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15" i="18"/>
  <c r="B29" i="2"/>
  <c r="B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M29" i="2"/>
  <c r="L29" i="2"/>
  <c r="K29" i="2"/>
  <c r="J29" i="2"/>
  <c r="I29" i="2"/>
  <c r="A25" i="17"/>
  <c r="T24" i="17"/>
  <c r="S24" i="17"/>
  <c r="O24" i="17"/>
  <c r="H24" i="17"/>
  <c r="F24" i="17"/>
  <c r="C24" i="17"/>
  <c r="A24" i="17"/>
  <c r="T23" i="17"/>
  <c r="S23" i="17"/>
  <c r="O23" i="17"/>
  <c r="H23" i="17"/>
  <c r="F23" i="17"/>
  <c r="C23" i="17"/>
  <c r="A23" i="17"/>
  <c r="T22" i="17"/>
  <c r="S22" i="17"/>
  <c r="O22" i="17"/>
  <c r="H22" i="17"/>
  <c r="F22" i="17"/>
  <c r="C22" i="17"/>
  <c r="A22" i="17"/>
  <c r="T21" i="17"/>
  <c r="S21" i="17"/>
  <c r="O21" i="17"/>
  <c r="H21" i="17"/>
  <c r="F21" i="17"/>
  <c r="C21" i="17"/>
  <c r="A21" i="17"/>
  <c r="T20" i="17"/>
  <c r="S20" i="17"/>
  <c r="O20" i="17"/>
  <c r="H20" i="17"/>
  <c r="F20" i="17"/>
  <c r="C20" i="17"/>
  <c r="A20" i="17"/>
  <c r="T19" i="17"/>
  <c r="S19" i="17"/>
  <c r="O19" i="17"/>
  <c r="C19" i="17"/>
  <c r="A19" i="17"/>
  <c r="O18" i="17"/>
  <c r="C18" i="17"/>
  <c r="A18" i="17"/>
  <c r="Y39" i="8"/>
  <c r="Y26" i="5"/>
  <c r="S26" i="5"/>
  <c r="O26" i="5"/>
  <c r="C26" i="5"/>
  <c r="A26" i="5"/>
  <c r="C17" i="17"/>
  <c r="A17" i="17"/>
  <c r="C16" i="17"/>
  <c r="A16" i="17"/>
  <c r="T13" i="17"/>
  <c r="S13" i="17"/>
  <c r="H13" i="17"/>
  <c r="F13" i="17"/>
  <c r="AH13" i="17"/>
  <c r="C13" i="17"/>
  <c r="A13" i="17"/>
  <c r="A11" i="17"/>
  <c r="A12" i="17"/>
  <c r="AA28" i="2"/>
  <c r="T12" i="17"/>
  <c r="S12" i="17"/>
  <c r="H12" i="17"/>
  <c r="F12" i="17"/>
  <c r="AH12" i="17"/>
  <c r="C12" i="17"/>
  <c r="T11" i="17"/>
  <c r="S11" i="17"/>
  <c r="H11" i="17"/>
  <c r="F11" i="17"/>
  <c r="AH11" i="17"/>
  <c r="C11" i="17"/>
  <c r="D173" i="4"/>
  <c r="E173" i="4"/>
  <c r="F173" i="4"/>
  <c r="G173" i="4"/>
  <c r="I173" i="4"/>
  <c r="M36" i="2"/>
  <c r="N36" i="2"/>
  <c r="AU168" i="3"/>
  <c r="AV168" i="3"/>
  <c r="AW168" i="3"/>
  <c r="AU165" i="3"/>
  <c r="AV165" i="3"/>
  <c r="AW165" i="3"/>
  <c r="AU147" i="3"/>
  <c r="AV147" i="3"/>
  <c r="AW147" i="3"/>
  <c r="AU113" i="3"/>
  <c r="AV113" i="3"/>
  <c r="AW113" i="3"/>
  <c r="AW103" i="3"/>
  <c r="AU103" i="3"/>
  <c r="AU97" i="3"/>
  <c r="AV97" i="3"/>
  <c r="AW97" i="3"/>
  <c r="AU93" i="3"/>
  <c r="AV93" i="3"/>
  <c r="L93" i="3"/>
  <c r="J101" i="4"/>
  <c r="N101" i="4"/>
  <c r="AW93" i="3"/>
  <c r="AU84" i="3"/>
  <c r="AV84" i="3"/>
  <c r="AW84" i="3"/>
  <c r="AU64" i="3"/>
  <c r="AV64" i="3"/>
  <c r="AW64" i="3"/>
  <c r="AI56" i="3"/>
  <c r="L56" i="3"/>
  <c r="J66" i="4"/>
  <c r="AU44" i="3"/>
  <c r="AU45" i="3"/>
  <c r="AV44" i="3"/>
  <c r="AV45" i="3"/>
  <c r="AW44" i="3"/>
  <c r="AW45" i="3"/>
  <c r="AU39" i="3"/>
  <c r="AV39" i="3"/>
  <c r="AW39" i="3"/>
  <c r="AY31" i="3"/>
  <c r="AX31" i="3"/>
  <c r="AW31" i="3"/>
  <c r="AV31" i="3"/>
  <c r="AU31" i="3"/>
  <c r="AU29" i="3"/>
  <c r="AV29" i="3"/>
  <c r="AW29" i="3"/>
  <c r="AI29" i="3"/>
  <c r="AU26" i="3"/>
  <c r="AV26" i="3"/>
  <c r="AW26" i="3"/>
  <c r="AI26" i="3"/>
  <c r="L26" i="3"/>
  <c r="J36" i="4"/>
  <c r="L166" i="3"/>
  <c r="J172" i="4"/>
  <c r="L154" i="3"/>
  <c r="J160" i="4"/>
  <c r="L153" i="3"/>
  <c r="J159" i="4"/>
  <c r="L143" i="3"/>
  <c r="J149" i="4"/>
  <c r="L131" i="3"/>
  <c r="J138" i="4"/>
  <c r="L132" i="3"/>
  <c r="J139" i="4"/>
  <c r="L133" i="3"/>
  <c r="J140" i="4"/>
  <c r="L134" i="3"/>
  <c r="J141" i="4"/>
  <c r="AU18" i="3"/>
  <c r="D148" i="4"/>
  <c r="E148" i="4"/>
  <c r="F148" i="4"/>
  <c r="G148" i="4"/>
  <c r="I148" i="4"/>
  <c r="D149" i="4"/>
  <c r="E149" i="4"/>
  <c r="F149" i="4"/>
  <c r="G149" i="4"/>
  <c r="I149" i="4"/>
  <c r="K149" i="4"/>
  <c r="L149" i="4"/>
  <c r="D151" i="4"/>
  <c r="E151" i="4"/>
  <c r="F151" i="4"/>
  <c r="G151" i="4"/>
  <c r="I151" i="4"/>
  <c r="D152" i="4"/>
  <c r="E152" i="4"/>
  <c r="F152" i="4"/>
  <c r="G152" i="4"/>
  <c r="I152" i="4"/>
  <c r="D153" i="4"/>
  <c r="E153" i="4"/>
  <c r="F153" i="4"/>
  <c r="G153" i="4"/>
  <c r="I153" i="4"/>
  <c r="D154" i="4"/>
  <c r="E154" i="4"/>
  <c r="F154" i="4"/>
  <c r="G154" i="4"/>
  <c r="I154" i="4"/>
  <c r="D155" i="4"/>
  <c r="E155" i="4"/>
  <c r="F155" i="4"/>
  <c r="G155" i="4"/>
  <c r="I155" i="4"/>
  <c r="D156" i="4"/>
  <c r="E156" i="4"/>
  <c r="F156" i="4"/>
  <c r="D157" i="4"/>
  <c r="E157" i="4"/>
  <c r="F157" i="4"/>
  <c r="G157" i="4"/>
  <c r="H157" i="4"/>
  <c r="I157" i="4"/>
  <c r="K157" i="4"/>
  <c r="L157" i="4"/>
  <c r="D159" i="4"/>
  <c r="E159" i="4"/>
  <c r="F159" i="4"/>
  <c r="G159" i="4"/>
  <c r="H159" i="4"/>
  <c r="I159" i="4"/>
  <c r="K159" i="4"/>
  <c r="L159" i="4"/>
  <c r="D160" i="4"/>
  <c r="E160" i="4"/>
  <c r="F160" i="4"/>
  <c r="G160" i="4"/>
  <c r="H160" i="4"/>
  <c r="I160" i="4"/>
  <c r="K160" i="4"/>
  <c r="L160" i="4"/>
  <c r="D161" i="4"/>
  <c r="E161" i="4"/>
  <c r="F161" i="4"/>
  <c r="G161" i="4"/>
  <c r="H161" i="4"/>
  <c r="I161" i="4"/>
  <c r="J161" i="4"/>
  <c r="K161" i="4"/>
  <c r="L161" i="4"/>
  <c r="D162" i="4"/>
  <c r="E162" i="4"/>
  <c r="F162" i="4"/>
  <c r="G162" i="4"/>
  <c r="H162" i="4"/>
  <c r="I162" i="4"/>
  <c r="K162" i="4"/>
  <c r="L162" i="4"/>
  <c r="D163" i="4"/>
  <c r="E163" i="4"/>
  <c r="F163" i="4"/>
  <c r="G163" i="4"/>
  <c r="I163" i="4"/>
  <c r="D164" i="4"/>
  <c r="E164" i="4"/>
  <c r="F164" i="4"/>
  <c r="G164" i="4"/>
  <c r="I164" i="4"/>
  <c r="K164" i="4"/>
  <c r="L164" i="4"/>
  <c r="D166" i="4"/>
  <c r="E166" i="4"/>
  <c r="F166" i="4"/>
  <c r="D167" i="4"/>
  <c r="E167" i="4"/>
  <c r="F167" i="4"/>
  <c r="I167" i="4"/>
  <c r="D168" i="4"/>
  <c r="E168" i="4"/>
  <c r="F168" i="4"/>
  <c r="D169" i="4"/>
  <c r="E169" i="4"/>
  <c r="F169" i="4"/>
  <c r="I169" i="4"/>
  <c r="D170" i="4"/>
  <c r="E170" i="4"/>
  <c r="F170" i="4"/>
  <c r="G170" i="4"/>
  <c r="I170" i="4"/>
  <c r="D171" i="4"/>
  <c r="E171" i="4"/>
  <c r="F171" i="4"/>
  <c r="G171" i="4"/>
  <c r="I171" i="4"/>
  <c r="D172" i="4"/>
  <c r="E172" i="4"/>
  <c r="F172" i="4"/>
  <c r="G172" i="4"/>
  <c r="H172" i="4"/>
  <c r="I172" i="4"/>
  <c r="K172" i="4"/>
  <c r="L172" i="4"/>
  <c r="D174" i="4"/>
  <c r="E174" i="4"/>
  <c r="F174" i="4"/>
  <c r="G174" i="4"/>
  <c r="I174" i="4"/>
  <c r="H148" i="4"/>
  <c r="AI142" i="3"/>
  <c r="L142" i="3"/>
  <c r="J148" i="4"/>
  <c r="E142" i="3"/>
  <c r="C148" i="4"/>
  <c r="B142" i="3"/>
  <c r="AI164" i="3"/>
  <c r="L164" i="3"/>
  <c r="J170" i="4"/>
  <c r="AI165" i="3"/>
  <c r="AI147" i="3"/>
  <c r="AI119" i="3"/>
  <c r="L119" i="3"/>
  <c r="J126" i="4"/>
  <c r="AI120" i="3"/>
  <c r="L120" i="3"/>
  <c r="J127" i="4"/>
  <c r="AI121" i="3"/>
  <c r="L121" i="3"/>
  <c r="J128" i="4"/>
  <c r="AI113" i="3"/>
  <c r="AI116" i="3"/>
  <c r="L116" i="3"/>
  <c r="J123" i="4"/>
  <c r="AI114" i="3"/>
  <c r="L114" i="3"/>
  <c r="J122" i="4"/>
  <c r="AI111" i="3"/>
  <c r="L111" i="3"/>
  <c r="J119" i="4"/>
  <c r="AI110" i="3"/>
  <c r="L110" i="3"/>
  <c r="J118" i="4"/>
  <c r="AI106" i="3"/>
  <c r="L106" i="3"/>
  <c r="J115" i="4"/>
  <c r="AI109" i="3"/>
  <c r="L109" i="3"/>
  <c r="J117" i="4"/>
  <c r="AI104" i="3"/>
  <c r="L104" i="3"/>
  <c r="J112" i="4"/>
  <c r="AI102" i="3"/>
  <c r="L102" i="3"/>
  <c r="J110" i="4"/>
  <c r="AI101" i="3"/>
  <c r="L101" i="3"/>
  <c r="J109" i="4"/>
  <c r="AI100" i="3"/>
  <c r="L100" i="3"/>
  <c r="J108" i="4"/>
  <c r="AI99" i="3"/>
  <c r="L99" i="3"/>
  <c r="J107" i="4"/>
  <c r="AI98" i="3"/>
  <c r="L98" i="3"/>
  <c r="J106" i="4"/>
  <c r="AI97" i="3"/>
  <c r="AI93" i="3"/>
  <c r="AI86" i="3"/>
  <c r="AI84" i="3"/>
  <c r="AI80" i="3"/>
  <c r="L80" i="3"/>
  <c r="J88" i="4"/>
  <c r="AI69" i="3"/>
  <c r="AI64" i="3"/>
  <c r="AI31" i="3"/>
  <c r="AI21" i="3"/>
  <c r="L21" i="3"/>
  <c r="J32" i="4"/>
  <c r="AI22" i="3"/>
  <c r="L22" i="3"/>
  <c r="J33" i="4"/>
  <c r="AI23" i="3"/>
  <c r="L23" i="3"/>
  <c r="J34" i="4"/>
  <c r="AI20" i="3"/>
  <c r="L20" i="3"/>
  <c r="J31" i="4"/>
  <c r="AI16" i="3"/>
  <c r="L16" i="3"/>
  <c r="J27" i="4"/>
  <c r="AI14" i="3"/>
  <c r="L14" i="3"/>
  <c r="J25" i="4"/>
  <c r="AI15" i="3"/>
  <c r="L15" i="3"/>
  <c r="J26" i="4"/>
  <c r="AI13" i="3"/>
  <c r="L13" i="3"/>
  <c r="J24" i="4"/>
  <c r="B114" i="14"/>
  <c r="D27" i="9"/>
  <c r="B113" i="14"/>
  <c r="D26" i="9"/>
  <c r="B112" i="14"/>
  <c r="C112" i="14"/>
  <c r="E25" i="9"/>
  <c r="H113" i="14"/>
  <c r="I113" i="14"/>
  <c r="K26" i="9"/>
  <c r="F112" i="14"/>
  <c r="D112" i="14"/>
  <c r="F25" i="9"/>
  <c r="D131" i="4"/>
  <c r="E131" i="4"/>
  <c r="F131" i="4"/>
  <c r="AH124" i="3"/>
  <c r="AG124" i="3"/>
  <c r="AF124" i="3"/>
  <c r="AE124" i="3"/>
  <c r="AB124" i="3"/>
  <c r="AA124" i="3"/>
  <c r="Z124" i="3"/>
  <c r="W124" i="3"/>
  <c r="V124" i="3"/>
  <c r="N124" i="3"/>
  <c r="K124" i="3"/>
  <c r="I131" i="4"/>
  <c r="I124" i="3"/>
  <c r="B124" i="3"/>
  <c r="D114" i="4"/>
  <c r="E114" i="4"/>
  <c r="F114" i="4"/>
  <c r="G114" i="4"/>
  <c r="I114" i="4"/>
  <c r="D115" i="4"/>
  <c r="E115" i="4"/>
  <c r="F115" i="4"/>
  <c r="G115" i="4"/>
  <c r="I115" i="4"/>
  <c r="D116" i="4"/>
  <c r="E116" i="4"/>
  <c r="F116" i="4"/>
  <c r="D117" i="4"/>
  <c r="E117" i="4"/>
  <c r="F117" i="4"/>
  <c r="G117" i="4"/>
  <c r="I117" i="4"/>
  <c r="D118" i="4"/>
  <c r="E118" i="4"/>
  <c r="F118" i="4"/>
  <c r="G118" i="4"/>
  <c r="I118" i="4"/>
  <c r="D119" i="4"/>
  <c r="E119" i="4"/>
  <c r="F119" i="4"/>
  <c r="G119" i="4"/>
  <c r="D120" i="4"/>
  <c r="E120" i="4"/>
  <c r="F120" i="4"/>
  <c r="D121" i="4"/>
  <c r="E121" i="4"/>
  <c r="F121" i="4"/>
  <c r="G121" i="4"/>
  <c r="I121" i="4"/>
  <c r="D122" i="4"/>
  <c r="E122" i="4"/>
  <c r="F122" i="4"/>
  <c r="G122" i="4"/>
  <c r="I122" i="4"/>
  <c r="D123" i="4"/>
  <c r="E123" i="4"/>
  <c r="F123" i="4"/>
  <c r="G123" i="4"/>
  <c r="I123" i="4"/>
  <c r="D124" i="4"/>
  <c r="E124" i="4"/>
  <c r="F124" i="4"/>
  <c r="G124" i="4"/>
  <c r="I124" i="4"/>
  <c r="D125" i="4"/>
  <c r="E125" i="4"/>
  <c r="F125" i="4"/>
  <c r="D126" i="4"/>
  <c r="E126" i="4"/>
  <c r="F126" i="4"/>
  <c r="G126" i="4"/>
  <c r="I126" i="4"/>
  <c r="D127" i="4"/>
  <c r="E127" i="4"/>
  <c r="F127" i="4"/>
  <c r="G127" i="4"/>
  <c r="I127" i="4"/>
  <c r="D128" i="4"/>
  <c r="E128" i="4"/>
  <c r="F128" i="4"/>
  <c r="G128" i="4"/>
  <c r="I128" i="4"/>
  <c r="D129" i="4"/>
  <c r="E129" i="4"/>
  <c r="F129" i="4"/>
  <c r="G129" i="4"/>
  <c r="I129" i="4"/>
  <c r="D130" i="4"/>
  <c r="E130" i="4"/>
  <c r="F130" i="4"/>
  <c r="G130" i="4"/>
  <c r="I130" i="4"/>
  <c r="D136" i="4"/>
  <c r="E136" i="4"/>
  <c r="F136" i="4"/>
  <c r="G136" i="4"/>
  <c r="H136" i="4"/>
  <c r="I136" i="4"/>
  <c r="J136" i="4"/>
  <c r="N136" i="4"/>
  <c r="K136" i="4"/>
  <c r="L136" i="4"/>
  <c r="D138" i="4"/>
  <c r="E138" i="4"/>
  <c r="F138" i="4"/>
  <c r="G138" i="4"/>
  <c r="I138" i="4"/>
  <c r="K138" i="4"/>
  <c r="L138" i="4"/>
  <c r="D139" i="4"/>
  <c r="E139" i="4"/>
  <c r="F139" i="4"/>
  <c r="G139" i="4"/>
  <c r="I139" i="4"/>
  <c r="K139" i="4"/>
  <c r="L139" i="4"/>
  <c r="D140" i="4"/>
  <c r="E140" i="4"/>
  <c r="F140" i="4"/>
  <c r="G140" i="4"/>
  <c r="I140" i="4"/>
  <c r="K140" i="4"/>
  <c r="L140" i="4"/>
  <c r="D141" i="4"/>
  <c r="E141" i="4"/>
  <c r="F141" i="4"/>
  <c r="G141" i="4"/>
  <c r="I141" i="4"/>
  <c r="K141" i="4"/>
  <c r="L141" i="4"/>
  <c r="D142" i="4"/>
  <c r="E142" i="4"/>
  <c r="F142" i="4"/>
  <c r="G142" i="4"/>
  <c r="H142" i="4"/>
  <c r="I142" i="4"/>
  <c r="J142" i="4"/>
  <c r="K142" i="4"/>
  <c r="L142" i="4"/>
  <c r="D143" i="4"/>
  <c r="E143" i="4"/>
  <c r="F143" i="4"/>
  <c r="G143" i="4"/>
  <c r="H143" i="4"/>
  <c r="I143" i="4"/>
  <c r="J143" i="4"/>
  <c r="N143" i="4"/>
  <c r="K143" i="4"/>
  <c r="L143" i="4"/>
  <c r="D144" i="4"/>
  <c r="E144" i="4"/>
  <c r="F144" i="4"/>
  <c r="G144" i="4"/>
  <c r="H144" i="4"/>
  <c r="I144" i="4"/>
  <c r="J144" i="4"/>
  <c r="K144" i="4"/>
  <c r="L144" i="4"/>
  <c r="D145" i="4"/>
  <c r="E145" i="4"/>
  <c r="F145" i="4"/>
  <c r="G145" i="4"/>
  <c r="H145" i="4"/>
  <c r="I145" i="4"/>
  <c r="J145" i="4"/>
  <c r="K145" i="4"/>
  <c r="L145" i="4"/>
  <c r="D111" i="4"/>
  <c r="E111" i="4"/>
  <c r="F111" i="4"/>
  <c r="G111" i="4"/>
  <c r="I111" i="4"/>
  <c r="D112" i="4"/>
  <c r="E112" i="4"/>
  <c r="F112" i="4"/>
  <c r="G112" i="4"/>
  <c r="I112" i="4"/>
  <c r="D110" i="4"/>
  <c r="E110" i="4"/>
  <c r="F110" i="4"/>
  <c r="G110" i="4"/>
  <c r="I110" i="4"/>
  <c r="K110" i="4"/>
  <c r="E151" i="3"/>
  <c r="AF122" i="3"/>
  <c r="AF123" i="3"/>
  <c r="E122" i="3"/>
  <c r="C129" i="4"/>
  <c r="B122" i="3"/>
  <c r="E157" i="3"/>
  <c r="C163" i="4"/>
  <c r="B157" i="3"/>
  <c r="E123" i="3"/>
  <c r="C130" i="4"/>
  <c r="B123" i="3"/>
  <c r="M154" i="3"/>
  <c r="BC154" i="3"/>
  <c r="M153" i="3"/>
  <c r="BC153" i="3"/>
  <c r="J165" i="3"/>
  <c r="H171" i="4"/>
  <c r="H164" i="4"/>
  <c r="H170" i="4"/>
  <c r="J98" i="3"/>
  <c r="H106" i="4"/>
  <c r="J97" i="3"/>
  <c r="H105" i="4"/>
  <c r="J96" i="3"/>
  <c r="H104" i="4"/>
  <c r="J90" i="3"/>
  <c r="H98" i="4"/>
  <c r="J84" i="3"/>
  <c r="H92" i="4"/>
  <c r="J80" i="3"/>
  <c r="H88" i="4"/>
  <c r="J73" i="3"/>
  <c r="H81" i="4"/>
  <c r="J61" i="3"/>
  <c r="H71" i="4"/>
  <c r="J60" i="3"/>
  <c r="H70" i="4"/>
  <c r="J59" i="3"/>
  <c r="H69" i="4"/>
  <c r="J58" i="3"/>
  <c r="H68" i="4"/>
  <c r="J56" i="3"/>
  <c r="H66" i="4"/>
  <c r="J55" i="3"/>
  <c r="H65" i="4"/>
  <c r="J54" i="3"/>
  <c r="H64" i="4"/>
  <c r="J53" i="3"/>
  <c r="H63" i="4"/>
  <c r="J52" i="3"/>
  <c r="H62" i="4"/>
  <c r="J51" i="3"/>
  <c r="H61" i="4"/>
  <c r="J22" i="3"/>
  <c r="H33" i="4"/>
  <c r="J21" i="3"/>
  <c r="H32" i="4"/>
  <c r="J20" i="3"/>
  <c r="H31" i="4"/>
  <c r="J17" i="3"/>
  <c r="H28" i="4"/>
  <c r="J16" i="3"/>
  <c r="H27" i="4"/>
  <c r="J15" i="3"/>
  <c r="H26" i="4"/>
  <c r="J14" i="3"/>
  <c r="H25" i="4"/>
  <c r="J13" i="3"/>
  <c r="H24" i="4"/>
  <c r="J50" i="3"/>
  <c r="H60" i="4"/>
  <c r="J49" i="3"/>
  <c r="H59" i="4"/>
  <c r="J48" i="3"/>
  <c r="H58" i="4"/>
  <c r="J47" i="3"/>
  <c r="H57" i="4"/>
  <c r="J46" i="3"/>
  <c r="H56" i="4"/>
  <c r="J44" i="3"/>
  <c r="H54" i="4"/>
  <c r="J42" i="3"/>
  <c r="H53" i="4"/>
  <c r="J43" i="3"/>
  <c r="H52" i="4"/>
  <c r="J31" i="3"/>
  <c r="H41" i="4"/>
  <c r="J30" i="3"/>
  <c r="H40" i="4"/>
  <c r="J27" i="3"/>
  <c r="H37" i="4"/>
  <c r="J25" i="3"/>
  <c r="H35" i="4"/>
  <c r="J23" i="3"/>
  <c r="H34" i="4"/>
  <c r="J103" i="3"/>
  <c r="H111" i="4"/>
  <c r="J95" i="3"/>
  <c r="H103" i="4"/>
  <c r="J94" i="3"/>
  <c r="H102" i="4"/>
  <c r="J92" i="3"/>
  <c r="H100" i="4"/>
  <c r="J86" i="3"/>
  <c r="H94" i="4"/>
  <c r="J66" i="3"/>
  <c r="H75" i="4"/>
  <c r="J63" i="3"/>
  <c r="H72" i="4"/>
  <c r="J64" i="3"/>
  <c r="H73" i="4"/>
  <c r="AX103" i="3"/>
  <c r="AY103" i="3"/>
  <c r="AH103" i="3"/>
  <c r="AT103" i="3"/>
  <c r="AS103" i="3"/>
  <c r="AK103" i="3"/>
  <c r="V103" i="3"/>
  <c r="AR103" i="3"/>
  <c r="E103" i="3"/>
  <c r="AP103" i="3"/>
  <c r="AO103" i="3"/>
  <c r="AN103" i="3"/>
  <c r="AC103" i="3"/>
  <c r="AD103" i="3"/>
  <c r="B103" i="3"/>
  <c r="AB166" i="3"/>
  <c r="AA166" i="3"/>
  <c r="AZ166" i="3"/>
  <c r="E166" i="3"/>
  <c r="C172" i="4"/>
  <c r="B166" i="3"/>
  <c r="B167" i="3"/>
  <c r="E167" i="3"/>
  <c r="AI167" i="3"/>
  <c r="L167" i="3"/>
  <c r="J173" i="4"/>
  <c r="AL167" i="3"/>
  <c r="AM167" i="3"/>
  <c r="AB163" i="3"/>
  <c r="AB162" i="3"/>
  <c r="AA163" i="3"/>
  <c r="AA162" i="3"/>
  <c r="Z163" i="3"/>
  <c r="V163" i="3"/>
  <c r="V162" i="3"/>
  <c r="AB161" i="3"/>
  <c r="AB160" i="3"/>
  <c r="AA161" i="3"/>
  <c r="AA160" i="3"/>
  <c r="Z161" i="3"/>
  <c r="W161" i="3"/>
  <c r="W160" i="3"/>
  <c r="V161" i="3"/>
  <c r="V160" i="3"/>
  <c r="N161" i="3"/>
  <c r="O161" i="3"/>
  <c r="I161" i="3"/>
  <c r="AC111" i="3"/>
  <c r="AD111" i="3"/>
  <c r="AB111" i="3"/>
  <c r="AA111" i="3"/>
  <c r="P111" i="3"/>
  <c r="AQ111" i="3"/>
  <c r="K111" i="3"/>
  <c r="J111" i="3"/>
  <c r="H119" i="4"/>
  <c r="E111" i="3"/>
  <c r="B111" i="3"/>
  <c r="T76" i="3"/>
  <c r="U76" i="3"/>
  <c r="N8" i="3"/>
  <c r="AC165" i="3"/>
  <c r="AD165" i="3"/>
  <c r="AC164" i="3"/>
  <c r="AD164" i="3"/>
  <c r="AC149" i="3"/>
  <c r="AD149" i="3"/>
  <c r="AC148" i="3"/>
  <c r="AD148" i="3"/>
  <c r="AC119" i="3"/>
  <c r="AD119" i="3"/>
  <c r="AC120" i="3"/>
  <c r="AD120" i="3"/>
  <c r="AC121" i="3"/>
  <c r="AD121" i="3"/>
  <c r="AC115" i="3"/>
  <c r="AD115" i="3"/>
  <c r="AC116" i="3"/>
  <c r="AD116" i="3"/>
  <c r="AC114" i="3"/>
  <c r="AD114" i="3"/>
  <c r="AC113" i="3"/>
  <c r="AD113" i="3"/>
  <c r="AC110" i="3"/>
  <c r="AD110" i="3"/>
  <c r="AC109" i="3"/>
  <c r="AD109" i="3"/>
  <c r="AC106" i="3"/>
  <c r="AD106" i="3"/>
  <c r="AC102" i="3"/>
  <c r="AD102" i="3"/>
  <c r="AC101" i="3"/>
  <c r="AD101" i="3"/>
  <c r="AC100" i="3"/>
  <c r="AD100" i="3"/>
  <c r="AC95" i="3"/>
  <c r="AD95" i="3"/>
  <c r="N164" i="3"/>
  <c r="K170" i="4"/>
  <c r="N165" i="3"/>
  <c r="S165" i="3"/>
  <c r="N149" i="3"/>
  <c r="N148" i="3"/>
  <c r="U98" i="3"/>
  <c r="N97" i="3"/>
  <c r="N96" i="3"/>
  <c r="N86" i="3"/>
  <c r="AY18" i="3"/>
  <c r="AY19" i="3"/>
  <c r="AX18" i="3"/>
  <c r="AX19" i="3"/>
  <c r="AJ18" i="3"/>
  <c r="M18" i="3"/>
  <c r="BC18" i="3"/>
  <c r="AB18" i="3"/>
  <c r="AA18" i="3"/>
  <c r="AA19" i="3"/>
  <c r="Z18" i="3"/>
  <c r="W18" i="3"/>
  <c r="E18" i="3"/>
  <c r="C29" i="4"/>
  <c r="B18" i="3"/>
  <c r="B26" i="3"/>
  <c r="AS31" i="3"/>
  <c r="AP31" i="3"/>
  <c r="AO31" i="3"/>
  <c r="AN31" i="3"/>
  <c r="AM31" i="3"/>
  <c r="AL31" i="3"/>
  <c r="AK31" i="3"/>
  <c r="AJ31" i="3"/>
  <c r="M31" i="3"/>
  <c r="AB31" i="3"/>
  <c r="AA31" i="3"/>
  <c r="Z31" i="3"/>
  <c r="Y31" i="3"/>
  <c r="X31" i="3"/>
  <c r="W31" i="3"/>
  <c r="V31" i="3"/>
  <c r="E31" i="3"/>
  <c r="C41" i="4"/>
  <c r="B31" i="3"/>
  <c r="AY44" i="3"/>
  <c r="AY45" i="3"/>
  <c r="AX44" i="3"/>
  <c r="AX45" i="3"/>
  <c r="AP44" i="3"/>
  <c r="AP45" i="3"/>
  <c r="AO44" i="3"/>
  <c r="AO45" i="3"/>
  <c r="AN44" i="3"/>
  <c r="AN45" i="3"/>
  <c r="AB44" i="3"/>
  <c r="AA44" i="3"/>
  <c r="Z44" i="3"/>
  <c r="W44" i="3"/>
  <c r="X44" i="3"/>
  <c r="V44" i="3"/>
  <c r="E44" i="3"/>
  <c r="A44" i="3"/>
  <c r="B54" i="4"/>
  <c r="B57" i="3"/>
  <c r="AA74" i="3"/>
  <c r="B74" i="3"/>
  <c r="I87" i="4"/>
  <c r="AL79" i="3"/>
  <c r="B79" i="3"/>
  <c r="AY165" i="3"/>
  <c r="AX165" i="3"/>
  <c r="AS165" i="3"/>
  <c r="AP165" i="3"/>
  <c r="AO165" i="3"/>
  <c r="AN165" i="3"/>
  <c r="AM165" i="3"/>
  <c r="AL165" i="3"/>
  <c r="AK165" i="3"/>
  <c r="AJ165" i="3"/>
  <c r="M165" i="3"/>
  <c r="AB165" i="3"/>
  <c r="AA165" i="3"/>
  <c r="Z165" i="3"/>
  <c r="Y165" i="3"/>
  <c r="X165" i="3"/>
  <c r="W165" i="3"/>
  <c r="V165" i="3"/>
  <c r="E165" i="3"/>
  <c r="B165" i="3"/>
  <c r="AY113" i="3"/>
  <c r="AX113" i="3"/>
  <c r="AS113" i="3"/>
  <c r="AP113" i="3"/>
  <c r="AO113" i="3"/>
  <c r="AN113" i="3"/>
  <c r="AJ113" i="3"/>
  <c r="M113" i="3"/>
  <c r="AB113" i="3"/>
  <c r="AA113" i="3"/>
  <c r="Z113" i="3"/>
  <c r="W113" i="3"/>
  <c r="V113" i="3"/>
  <c r="J113" i="3"/>
  <c r="H121" i="4"/>
  <c r="E113" i="3"/>
  <c r="B113" i="3"/>
  <c r="AY93" i="3"/>
  <c r="AS93" i="3"/>
  <c r="AX93" i="3"/>
  <c r="AP93" i="3"/>
  <c r="AO93" i="3"/>
  <c r="AN93" i="3"/>
  <c r="AM93" i="3"/>
  <c r="AL93" i="3"/>
  <c r="AK93" i="3"/>
  <c r="AJ93" i="3"/>
  <c r="M93" i="3"/>
  <c r="AB93" i="3"/>
  <c r="AA93" i="3"/>
  <c r="Z93" i="3"/>
  <c r="Y93" i="3"/>
  <c r="X93" i="3"/>
  <c r="W93" i="3"/>
  <c r="V93" i="3"/>
  <c r="AR93" i="3"/>
  <c r="E93" i="3"/>
  <c r="A93" i="3"/>
  <c r="B101" i="4"/>
  <c r="B93" i="3"/>
  <c r="AL147" i="3"/>
  <c r="AM147" i="3"/>
  <c r="AY147" i="3"/>
  <c r="AX147" i="3"/>
  <c r="AP147" i="3"/>
  <c r="AO147" i="3"/>
  <c r="AN147" i="3"/>
  <c r="AK147" i="3"/>
  <c r="AB147" i="3"/>
  <c r="AA147" i="3"/>
  <c r="Z147" i="3"/>
  <c r="Y147" i="3"/>
  <c r="X147" i="3"/>
  <c r="W147" i="3"/>
  <c r="V147" i="3"/>
  <c r="W26" i="3"/>
  <c r="X26" i="3"/>
  <c r="AA26" i="3"/>
  <c r="AJ26" i="3"/>
  <c r="M26" i="3"/>
  <c r="BC26" i="3"/>
  <c r="AN26" i="3"/>
  <c r="AP26" i="3"/>
  <c r="AY26" i="3"/>
  <c r="V26" i="3"/>
  <c r="Z26" i="3"/>
  <c r="AB26" i="3"/>
  <c r="AK26" i="3"/>
  <c r="AO26" i="3"/>
  <c r="AY168" i="3"/>
  <c r="AX168" i="3"/>
  <c r="AP168" i="3"/>
  <c r="AO168" i="3"/>
  <c r="AN168" i="3"/>
  <c r="AM168" i="3"/>
  <c r="AL168" i="3"/>
  <c r="AK168" i="3"/>
  <c r="H17" i="2"/>
  <c r="F19" i="18"/>
  <c r="AS164" i="3"/>
  <c r="U164" i="3"/>
  <c r="E164" i="3"/>
  <c r="C170" i="4"/>
  <c r="B164" i="3"/>
  <c r="H143" i="14"/>
  <c r="I143" i="14"/>
  <c r="H142" i="14"/>
  <c r="J48" i="9"/>
  <c r="H141" i="14"/>
  <c r="H140" i="14"/>
  <c r="H139" i="14"/>
  <c r="H138" i="14"/>
  <c r="H137" i="14"/>
  <c r="H136" i="14"/>
  <c r="H135" i="14"/>
  <c r="H134" i="14"/>
  <c r="J47" i="9"/>
  <c r="H133" i="14"/>
  <c r="J46" i="9"/>
  <c r="D133" i="14"/>
  <c r="F46" i="9"/>
  <c r="D143" i="14"/>
  <c r="E143" i="14"/>
  <c r="D142" i="14"/>
  <c r="F48" i="9"/>
  <c r="D141" i="14"/>
  <c r="D140" i="14"/>
  <c r="D139" i="14"/>
  <c r="D138" i="14"/>
  <c r="D137" i="14"/>
  <c r="D136" i="14"/>
  <c r="D135" i="14"/>
  <c r="D134" i="14"/>
  <c r="F47" i="9"/>
  <c r="B29" i="14"/>
  <c r="C29" i="14"/>
  <c r="E17" i="9"/>
  <c r="B28" i="14"/>
  <c r="C28" i="14"/>
  <c r="B27" i="14"/>
  <c r="C27" i="14"/>
  <c r="B26" i="14"/>
  <c r="C26" i="14"/>
  <c r="B25" i="14"/>
  <c r="C25" i="14"/>
  <c r="B24" i="14"/>
  <c r="C24" i="14"/>
  <c r="B23" i="14"/>
  <c r="C23" i="14"/>
  <c r="B22" i="14"/>
  <c r="C22" i="14"/>
  <c r="B21" i="14"/>
  <c r="C21" i="14"/>
  <c r="B20" i="14"/>
  <c r="C20" i="14"/>
  <c r="B19" i="14"/>
  <c r="C19" i="14"/>
  <c r="B18" i="14"/>
  <c r="C18" i="14"/>
  <c r="B17" i="14"/>
  <c r="C17" i="14"/>
  <c r="B16" i="14"/>
  <c r="C16" i="14"/>
  <c r="B15" i="14"/>
  <c r="C15" i="14"/>
  <c r="B14" i="14"/>
  <c r="C14" i="14"/>
  <c r="B13" i="14"/>
  <c r="C13" i="14"/>
  <c r="B12" i="14"/>
  <c r="C12" i="14"/>
  <c r="B11" i="14"/>
  <c r="C11" i="14"/>
  <c r="B10" i="14"/>
  <c r="C10" i="14"/>
  <c r="B9" i="14"/>
  <c r="C9" i="14"/>
  <c r="B8" i="14"/>
  <c r="C8" i="14"/>
  <c r="B7" i="14"/>
  <c r="C7" i="14"/>
  <c r="B6" i="14"/>
  <c r="C6" i="14"/>
  <c r="B5" i="14"/>
  <c r="C5" i="14"/>
  <c r="B4" i="14"/>
  <c r="C4" i="14"/>
  <c r="B3" i="14"/>
  <c r="C3" i="14"/>
  <c r="B2" i="14"/>
  <c r="C2" i="14"/>
  <c r="F115" i="14"/>
  <c r="G115" i="14"/>
  <c r="I28" i="9"/>
  <c r="D115" i="14"/>
  <c r="E115" i="14"/>
  <c r="G28" i="9"/>
  <c r="H115" i="14"/>
  <c r="I115" i="14"/>
  <c r="K28" i="9"/>
  <c r="D2" i="14"/>
  <c r="F2" i="14"/>
  <c r="G2" i="14"/>
  <c r="I16" i="9"/>
  <c r="H2" i="14"/>
  <c r="I2" i="14"/>
  <c r="K16" i="9"/>
  <c r="D3" i="14"/>
  <c r="E3" i="14"/>
  <c r="F3" i="14"/>
  <c r="G3" i="14"/>
  <c r="H3" i="14"/>
  <c r="I3" i="14"/>
  <c r="D4" i="14"/>
  <c r="E4" i="14"/>
  <c r="F4" i="14"/>
  <c r="G4" i="14"/>
  <c r="H4" i="14"/>
  <c r="I4" i="14"/>
  <c r="D5" i="14"/>
  <c r="E5" i="14"/>
  <c r="F5" i="14"/>
  <c r="G5" i="14"/>
  <c r="H5" i="14"/>
  <c r="I5" i="14"/>
  <c r="D6" i="14"/>
  <c r="E6" i="14"/>
  <c r="F6" i="14"/>
  <c r="G6" i="14"/>
  <c r="H6" i="14"/>
  <c r="I6" i="14"/>
  <c r="D7" i="14"/>
  <c r="E7" i="14"/>
  <c r="F7" i="14"/>
  <c r="G7" i="14"/>
  <c r="H7" i="14"/>
  <c r="I7" i="14"/>
  <c r="D8" i="14"/>
  <c r="E8" i="14"/>
  <c r="F8" i="14"/>
  <c r="G8" i="14"/>
  <c r="H8" i="14"/>
  <c r="I8" i="14"/>
  <c r="D9" i="14"/>
  <c r="E9" i="14"/>
  <c r="F9" i="14"/>
  <c r="G9" i="14"/>
  <c r="H9" i="14"/>
  <c r="I9" i="14"/>
  <c r="D10" i="14"/>
  <c r="E10" i="14"/>
  <c r="F10" i="14"/>
  <c r="G10" i="14"/>
  <c r="H10" i="14"/>
  <c r="I10" i="14"/>
  <c r="D11" i="14"/>
  <c r="E11" i="14"/>
  <c r="F11" i="14"/>
  <c r="G11" i="14"/>
  <c r="H11" i="14"/>
  <c r="I11" i="14"/>
  <c r="D12" i="14"/>
  <c r="E12" i="14"/>
  <c r="F12" i="14"/>
  <c r="G12" i="14"/>
  <c r="H12" i="14"/>
  <c r="I12" i="14"/>
  <c r="D13" i="14"/>
  <c r="E13" i="14"/>
  <c r="F13" i="14"/>
  <c r="G13" i="14"/>
  <c r="H13" i="14"/>
  <c r="I13" i="14"/>
  <c r="D14" i="14"/>
  <c r="E14" i="14"/>
  <c r="F14" i="14"/>
  <c r="G14" i="14"/>
  <c r="H14" i="14"/>
  <c r="I14" i="14"/>
  <c r="D15" i="14"/>
  <c r="E15" i="14"/>
  <c r="F15" i="14"/>
  <c r="G15" i="14"/>
  <c r="H15" i="14"/>
  <c r="I15" i="14"/>
  <c r="D16" i="14"/>
  <c r="E16" i="14"/>
  <c r="F16" i="14"/>
  <c r="G16" i="14"/>
  <c r="H16" i="14"/>
  <c r="I16" i="14"/>
  <c r="D17" i="14"/>
  <c r="E17" i="14"/>
  <c r="F17" i="14"/>
  <c r="G17" i="14"/>
  <c r="H17" i="14"/>
  <c r="I17" i="14"/>
  <c r="D18" i="14"/>
  <c r="E18" i="14"/>
  <c r="F18" i="14"/>
  <c r="G18" i="14"/>
  <c r="H18" i="14"/>
  <c r="I18" i="14"/>
  <c r="D19" i="14"/>
  <c r="E19" i="14"/>
  <c r="F19" i="14"/>
  <c r="G19" i="14"/>
  <c r="H19" i="14"/>
  <c r="I19" i="14"/>
  <c r="D20" i="14"/>
  <c r="E20" i="14"/>
  <c r="F20" i="14"/>
  <c r="G20" i="14"/>
  <c r="H20" i="14"/>
  <c r="I20" i="14"/>
  <c r="D21" i="14"/>
  <c r="E21" i="14"/>
  <c r="F21" i="14"/>
  <c r="G21" i="14"/>
  <c r="H21" i="14"/>
  <c r="I21" i="14"/>
  <c r="D22" i="14"/>
  <c r="E22" i="14"/>
  <c r="F22" i="14"/>
  <c r="G22" i="14"/>
  <c r="H22" i="14"/>
  <c r="I22" i="14"/>
  <c r="D23" i="14"/>
  <c r="E23" i="14"/>
  <c r="F23" i="14"/>
  <c r="G23" i="14"/>
  <c r="H23" i="14"/>
  <c r="I23" i="14"/>
  <c r="D24" i="14"/>
  <c r="E24" i="14"/>
  <c r="F24" i="14"/>
  <c r="G24" i="14"/>
  <c r="H24" i="14"/>
  <c r="I24" i="14"/>
  <c r="D25" i="14"/>
  <c r="E25" i="14"/>
  <c r="F25" i="14"/>
  <c r="G25" i="14"/>
  <c r="H25" i="14"/>
  <c r="I25" i="14"/>
  <c r="D26" i="14"/>
  <c r="E26" i="14"/>
  <c r="F26" i="14"/>
  <c r="G26" i="14"/>
  <c r="H26" i="14"/>
  <c r="I26" i="14"/>
  <c r="D27" i="14"/>
  <c r="E27" i="14"/>
  <c r="F27" i="14"/>
  <c r="G27" i="14"/>
  <c r="H27" i="14"/>
  <c r="I27" i="14"/>
  <c r="D28" i="14"/>
  <c r="E28" i="14"/>
  <c r="F28" i="14"/>
  <c r="G28" i="14"/>
  <c r="H28" i="14"/>
  <c r="I28" i="14"/>
  <c r="D29" i="14"/>
  <c r="E29" i="14"/>
  <c r="G17" i="9"/>
  <c r="F29" i="14"/>
  <c r="G29" i="14"/>
  <c r="I17" i="9"/>
  <c r="H29" i="14"/>
  <c r="I29" i="14"/>
  <c r="K17" i="9"/>
  <c r="B115" i="14"/>
  <c r="C115" i="14"/>
  <c r="E28" i="9"/>
  <c r="B116" i="14"/>
  <c r="C116" i="14"/>
  <c r="D116" i="14"/>
  <c r="F116" i="14"/>
  <c r="G116" i="14"/>
  <c r="H116" i="14"/>
  <c r="J29" i="9"/>
  <c r="B133" i="14"/>
  <c r="D46" i="9"/>
  <c r="F133" i="14"/>
  <c r="H46" i="9"/>
  <c r="B134" i="14"/>
  <c r="D47" i="9"/>
  <c r="F134" i="14"/>
  <c r="H47" i="9"/>
  <c r="B135" i="14"/>
  <c r="F135" i="14"/>
  <c r="B136" i="14"/>
  <c r="F136" i="14"/>
  <c r="B137" i="14"/>
  <c r="F137" i="14"/>
  <c r="B138" i="14"/>
  <c r="F138" i="14"/>
  <c r="B139" i="14"/>
  <c r="F139" i="14"/>
  <c r="B140" i="14"/>
  <c r="F140" i="14"/>
  <c r="B141" i="14"/>
  <c r="F141" i="14"/>
  <c r="B142" i="14"/>
  <c r="D48" i="9"/>
  <c r="F142" i="14"/>
  <c r="H48" i="9"/>
  <c r="B143" i="14"/>
  <c r="C143" i="14"/>
  <c r="F143" i="14"/>
  <c r="G143" i="14"/>
  <c r="I36" i="2"/>
  <c r="AJ164" i="3"/>
  <c r="M164" i="3"/>
  <c r="BC164" i="3"/>
  <c r="M151" i="3"/>
  <c r="BC151" i="3"/>
  <c r="H37" i="2"/>
  <c r="H36" i="2"/>
  <c r="T15" i="5"/>
  <c r="T14" i="5"/>
  <c r="T13" i="5"/>
  <c r="T12" i="5"/>
  <c r="T11" i="5"/>
  <c r="C10" i="9"/>
  <c r="M26" i="2"/>
  <c r="M25" i="2"/>
  <c r="G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G58" i="2"/>
  <c r="I26" i="2"/>
  <c r="J26" i="2"/>
  <c r="K26" i="2"/>
  <c r="L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B25" i="2"/>
  <c r="AA25" i="2"/>
  <c r="Y25" i="2"/>
  <c r="Z25" i="2"/>
  <c r="X25" i="2"/>
  <c r="W25" i="2"/>
  <c r="V25" i="2"/>
  <c r="U25" i="2"/>
  <c r="T25" i="2"/>
  <c r="S25" i="2"/>
  <c r="R25" i="2"/>
  <c r="Q25" i="2"/>
  <c r="P25" i="2"/>
  <c r="O25" i="2"/>
  <c r="L25" i="2"/>
  <c r="K25" i="2"/>
  <c r="J25" i="2"/>
  <c r="I25" i="2"/>
  <c r="B26" i="2"/>
  <c r="B59" i="2"/>
  <c r="B25" i="2"/>
  <c r="B58" i="2"/>
  <c r="M131" i="3"/>
  <c r="C28" i="13"/>
  <c r="M132" i="3"/>
  <c r="BC132" i="3"/>
  <c r="M133" i="3"/>
  <c r="M134" i="3"/>
  <c r="C31" i="13"/>
  <c r="H29" i="2"/>
  <c r="F31" i="18"/>
  <c r="H25" i="2"/>
  <c r="F27" i="18"/>
  <c r="H26" i="2"/>
  <c r="F28" i="18"/>
  <c r="Y18" i="5"/>
  <c r="Z5" i="2"/>
  <c r="AB168" i="3"/>
  <c r="AA168" i="3"/>
  <c r="Z168" i="3"/>
  <c r="Y168" i="3"/>
  <c r="X168" i="3"/>
  <c r="W168" i="3"/>
  <c r="V168" i="3"/>
  <c r="AR168" i="3"/>
  <c r="J168" i="3"/>
  <c r="H174" i="4"/>
  <c r="E168" i="3"/>
  <c r="C174" i="4"/>
  <c r="B168" i="3"/>
  <c r="AK163" i="3"/>
  <c r="B163" i="3"/>
  <c r="K162" i="3"/>
  <c r="B162" i="3"/>
  <c r="AK161" i="3"/>
  <c r="AH161" i="3"/>
  <c r="AH160" i="3"/>
  <c r="B161" i="3"/>
  <c r="K160" i="3"/>
  <c r="B160" i="3"/>
  <c r="AG158" i="3"/>
  <c r="AS158" i="3"/>
  <c r="E158" i="3"/>
  <c r="C164" i="4"/>
  <c r="B158" i="3"/>
  <c r="E156" i="3"/>
  <c r="B156" i="3"/>
  <c r="E155" i="3"/>
  <c r="C161" i="4"/>
  <c r="B155" i="3"/>
  <c r="AM154" i="3"/>
  <c r="AL154" i="3"/>
  <c r="E154" i="3"/>
  <c r="B154" i="3"/>
  <c r="AM153" i="3"/>
  <c r="AL153" i="3"/>
  <c r="E153" i="3"/>
  <c r="C159" i="4"/>
  <c r="B153" i="3"/>
  <c r="B151" i="3"/>
  <c r="AH150" i="3"/>
  <c r="I150" i="3"/>
  <c r="AE150" i="3"/>
  <c r="AG150" i="3"/>
  <c r="AI150" i="3"/>
  <c r="AB150" i="3"/>
  <c r="AA150" i="3"/>
  <c r="V150" i="3"/>
  <c r="Z150" i="3"/>
  <c r="AZ150" i="3"/>
  <c r="W150" i="3"/>
  <c r="T150" i="3"/>
  <c r="R150" i="3"/>
  <c r="S150" i="3"/>
  <c r="P150" i="3"/>
  <c r="AC150" i="3"/>
  <c r="AD150" i="3"/>
  <c r="N150" i="3"/>
  <c r="K150" i="3"/>
  <c r="I156" i="4"/>
  <c r="B150" i="3"/>
  <c r="AH149" i="3"/>
  <c r="E149" i="3"/>
  <c r="A149" i="3"/>
  <c r="B155" i="4"/>
  <c r="B149" i="3"/>
  <c r="AS148" i="3"/>
  <c r="AJ148" i="3"/>
  <c r="M148" i="3"/>
  <c r="BC148" i="3"/>
  <c r="E148" i="3"/>
  <c r="B148" i="3"/>
  <c r="AS147" i="3"/>
  <c r="AJ147" i="3"/>
  <c r="M147" i="3"/>
  <c r="E147" i="3"/>
  <c r="C153" i="4"/>
  <c r="B147" i="3"/>
  <c r="AS146" i="3"/>
  <c r="E146" i="3"/>
  <c r="C152" i="4"/>
  <c r="B146" i="3"/>
  <c r="AH145" i="3"/>
  <c r="E145" i="3"/>
  <c r="B145" i="3"/>
  <c r="AS143" i="3"/>
  <c r="J143" i="3"/>
  <c r="H149" i="4"/>
  <c r="E143" i="3"/>
  <c r="C149" i="4"/>
  <c r="B143" i="3"/>
  <c r="E139" i="3"/>
  <c r="C146" i="4"/>
  <c r="B139" i="3"/>
  <c r="E138" i="3"/>
  <c r="C145" i="4"/>
  <c r="B138" i="3"/>
  <c r="E137" i="3"/>
  <c r="B137" i="3"/>
  <c r="E136" i="3"/>
  <c r="C143" i="4"/>
  <c r="B136" i="3"/>
  <c r="E135" i="3"/>
  <c r="C142" i="4"/>
  <c r="B135" i="3"/>
  <c r="J134" i="3"/>
  <c r="H141" i="4"/>
  <c r="E134" i="3"/>
  <c r="B134" i="3"/>
  <c r="J133" i="3"/>
  <c r="H140" i="4"/>
  <c r="E133" i="3"/>
  <c r="A133" i="3"/>
  <c r="B140" i="4"/>
  <c r="B133" i="3"/>
  <c r="J132" i="3"/>
  <c r="H139" i="4"/>
  <c r="E132" i="3"/>
  <c r="B132" i="3"/>
  <c r="J131" i="3"/>
  <c r="H138" i="4"/>
  <c r="E131" i="3"/>
  <c r="C138" i="4"/>
  <c r="B131" i="3"/>
  <c r="E130" i="3"/>
  <c r="A130" i="3"/>
  <c r="B130" i="3"/>
  <c r="E129" i="3"/>
  <c r="C136" i="4"/>
  <c r="B129" i="3"/>
  <c r="E128" i="3"/>
  <c r="A128" i="3"/>
  <c r="B128" i="3"/>
  <c r="AJ121" i="3"/>
  <c r="M121" i="3"/>
  <c r="BC121" i="3"/>
  <c r="J121" i="3"/>
  <c r="H128" i="4"/>
  <c r="E121" i="3"/>
  <c r="C128" i="4"/>
  <c r="B121" i="3"/>
  <c r="AJ120" i="3"/>
  <c r="M120" i="3"/>
  <c r="BC120" i="3"/>
  <c r="J120" i="3"/>
  <c r="H127" i="4"/>
  <c r="E120" i="3"/>
  <c r="C127" i="4"/>
  <c r="B120" i="3"/>
  <c r="AJ119" i="3"/>
  <c r="M119" i="3"/>
  <c r="BC119" i="3"/>
  <c r="J119" i="3"/>
  <c r="H126" i="4"/>
  <c r="E119" i="3"/>
  <c r="B119" i="3"/>
  <c r="AH118" i="3"/>
  <c r="AE118" i="3"/>
  <c r="AB118" i="3"/>
  <c r="AA118" i="3"/>
  <c r="X118" i="3"/>
  <c r="K118" i="3"/>
  <c r="BA118" i="3"/>
  <c r="I118" i="3"/>
  <c r="Y118" i="3"/>
  <c r="B118" i="3"/>
  <c r="AJ115" i="3"/>
  <c r="M115" i="3"/>
  <c r="BC115" i="3"/>
  <c r="J115" i="3"/>
  <c r="H124" i="4"/>
  <c r="E115" i="3"/>
  <c r="A115" i="3"/>
  <c r="B124" i="4"/>
  <c r="B115" i="3"/>
  <c r="AJ116" i="3"/>
  <c r="M116" i="3"/>
  <c r="BC116" i="3"/>
  <c r="J116" i="3"/>
  <c r="H123" i="4"/>
  <c r="E116" i="3"/>
  <c r="B116" i="3"/>
  <c r="AJ114" i="3"/>
  <c r="M114" i="3"/>
  <c r="BC114" i="3"/>
  <c r="J114" i="3"/>
  <c r="H122" i="4"/>
  <c r="E114" i="3"/>
  <c r="C122" i="4"/>
  <c r="B114" i="3"/>
  <c r="AH112" i="3"/>
  <c r="AG112" i="3"/>
  <c r="AF112" i="3"/>
  <c r="AE112" i="3"/>
  <c r="AB112" i="3"/>
  <c r="AA112" i="3"/>
  <c r="W112" i="3"/>
  <c r="X112" i="3"/>
  <c r="V112" i="3"/>
  <c r="K112" i="3"/>
  <c r="I112" i="3"/>
  <c r="B112" i="3"/>
  <c r="AJ110" i="3"/>
  <c r="M110" i="3"/>
  <c r="BC110" i="3"/>
  <c r="AB110" i="3"/>
  <c r="AA110" i="3"/>
  <c r="J110" i="3"/>
  <c r="H118" i="4"/>
  <c r="E110" i="3"/>
  <c r="C118" i="4"/>
  <c r="B110" i="3"/>
  <c r="AJ109" i="3"/>
  <c r="M109" i="3"/>
  <c r="BC109" i="3"/>
  <c r="AB109" i="3"/>
  <c r="AA109" i="3"/>
  <c r="J109" i="3"/>
  <c r="H117" i="4"/>
  <c r="E109" i="3"/>
  <c r="B109" i="3"/>
  <c r="AH108" i="3"/>
  <c r="AG108" i="3"/>
  <c r="AF108" i="3"/>
  <c r="AE108" i="3"/>
  <c r="AB108" i="3"/>
  <c r="AA108" i="3"/>
  <c r="W108" i="3"/>
  <c r="Y108" i="3"/>
  <c r="V108" i="3"/>
  <c r="K108" i="3"/>
  <c r="BA108" i="3"/>
  <c r="I108" i="3"/>
  <c r="B108" i="3"/>
  <c r="AS106" i="3"/>
  <c r="AJ106" i="3"/>
  <c r="M106" i="3"/>
  <c r="BC106" i="3"/>
  <c r="J106" i="3"/>
  <c r="H115" i="4"/>
  <c r="E106" i="3"/>
  <c r="B106" i="3"/>
  <c r="AH107" i="3"/>
  <c r="J107" i="3"/>
  <c r="H114" i="4"/>
  <c r="E107" i="3"/>
  <c r="C114" i="4"/>
  <c r="B107" i="3"/>
  <c r="AM104" i="3"/>
  <c r="AL104" i="3"/>
  <c r="AJ104" i="3"/>
  <c r="M104" i="3"/>
  <c r="BC104" i="3"/>
  <c r="E104" i="3"/>
  <c r="C112" i="4"/>
  <c r="B104" i="3"/>
  <c r="AS102" i="3"/>
  <c r="AM102" i="3"/>
  <c r="AL102" i="3"/>
  <c r="AK102" i="3"/>
  <c r="AJ102" i="3"/>
  <c r="M102" i="3"/>
  <c r="BC102" i="3"/>
  <c r="E102" i="3"/>
  <c r="B102" i="3"/>
  <c r="AS101" i="3"/>
  <c r="AM101" i="3"/>
  <c r="AL101" i="3"/>
  <c r="AK101" i="3"/>
  <c r="AJ101" i="3"/>
  <c r="M101" i="3"/>
  <c r="BC101" i="3"/>
  <c r="E101" i="3"/>
  <c r="B101" i="3"/>
  <c r="AS100" i="3"/>
  <c r="AM100" i="3"/>
  <c r="AL100" i="3"/>
  <c r="AK100" i="3"/>
  <c r="AJ100" i="3"/>
  <c r="M100" i="3"/>
  <c r="BC100" i="3"/>
  <c r="E100" i="3"/>
  <c r="B100" i="3"/>
  <c r="AS99" i="3"/>
  <c r="AM99" i="3"/>
  <c r="AL99" i="3"/>
  <c r="AJ99" i="3"/>
  <c r="M99" i="3"/>
  <c r="BC99" i="3"/>
  <c r="AC99" i="3"/>
  <c r="AD99" i="3"/>
  <c r="E99" i="3"/>
  <c r="B99" i="3"/>
  <c r="AS98" i="3"/>
  <c r="AM98" i="3"/>
  <c r="AL98" i="3"/>
  <c r="AK98" i="3"/>
  <c r="AJ98" i="3"/>
  <c r="M98" i="3"/>
  <c r="BC98" i="3"/>
  <c r="E98" i="3"/>
  <c r="A98" i="3"/>
  <c r="B106" i="4"/>
  <c r="B98" i="3"/>
  <c r="AY97" i="3"/>
  <c r="AX97" i="3"/>
  <c r="AP97" i="3"/>
  <c r="AO97" i="3"/>
  <c r="AN97" i="3"/>
  <c r="AM97" i="3"/>
  <c r="AL97" i="3"/>
  <c r="AK97" i="3"/>
  <c r="AJ97" i="3"/>
  <c r="M97" i="3"/>
  <c r="AB97" i="3"/>
  <c r="AA97" i="3"/>
  <c r="Z97" i="3"/>
  <c r="Y97" i="3"/>
  <c r="X97" i="3"/>
  <c r="W97" i="3"/>
  <c r="V97" i="3"/>
  <c r="E97" i="3"/>
  <c r="B97" i="3"/>
  <c r="AS96" i="3"/>
  <c r="AM96" i="3"/>
  <c r="AL96" i="3"/>
  <c r="AK96" i="3"/>
  <c r="AJ96" i="3"/>
  <c r="M96" i="3"/>
  <c r="BC96" i="3"/>
  <c r="E96" i="3"/>
  <c r="C104" i="4"/>
  <c r="B96" i="3"/>
  <c r="AH95" i="3"/>
  <c r="AT95" i="3"/>
  <c r="AS95" i="3"/>
  <c r="AJ95" i="3"/>
  <c r="M95" i="3"/>
  <c r="BC95" i="3"/>
  <c r="U95" i="3"/>
  <c r="S95" i="3"/>
  <c r="O95" i="3"/>
  <c r="L103" i="4"/>
  <c r="E95" i="3"/>
  <c r="B95" i="3"/>
  <c r="AH94" i="3"/>
  <c r="AT94" i="3"/>
  <c r="AS94" i="3"/>
  <c r="AJ94" i="3"/>
  <c r="M94" i="3"/>
  <c r="BC94" i="3"/>
  <c r="E94" i="3"/>
  <c r="B94" i="3"/>
  <c r="AH92" i="3"/>
  <c r="E92" i="3"/>
  <c r="A92" i="3"/>
  <c r="B100" i="4"/>
  <c r="B92" i="3"/>
  <c r="AS91" i="3"/>
  <c r="AK91" i="3"/>
  <c r="AJ91" i="3"/>
  <c r="E91" i="3"/>
  <c r="C99" i="4"/>
  <c r="B91" i="3"/>
  <c r="AS90" i="3"/>
  <c r="AK90" i="3"/>
  <c r="AI90" i="3"/>
  <c r="L90" i="3"/>
  <c r="J98" i="4"/>
  <c r="E90" i="3"/>
  <c r="A90" i="3"/>
  <c r="B98" i="4"/>
  <c r="B90" i="3"/>
  <c r="AM89" i="3"/>
  <c r="AI89" i="3"/>
  <c r="L89" i="3"/>
  <c r="J97" i="4"/>
  <c r="E89" i="3"/>
  <c r="C97" i="4"/>
  <c r="B89" i="3"/>
  <c r="AM88" i="3"/>
  <c r="AL88" i="3"/>
  <c r="AH88" i="3"/>
  <c r="AT88" i="3"/>
  <c r="AS88" i="3"/>
  <c r="E88" i="3"/>
  <c r="C96" i="4"/>
  <c r="B88" i="3"/>
  <c r="AM87" i="3"/>
  <c r="AL87" i="3"/>
  <c r="E87" i="3"/>
  <c r="A87" i="3"/>
  <c r="C95" i="4"/>
  <c r="B87" i="3"/>
  <c r="AS86" i="3"/>
  <c r="AJ86" i="3"/>
  <c r="M86" i="3"/>
  <c r="E86" i="3"/>
  <c r="C94" i="4"/>
  <c r="B86" i="3"/>
  <c r="AF85" i="3"/>
  <c r="AY84" i="3"/>
  <c r="AX84" i="3"/>
  <c r="AS84" i="3"/>
  <c r="AP84" i="3"/>
  <c r="AO84" i="3"/>
  <c r="AN84" i="3"/>
  <c r="AM84" i="3"/>
  <c r="AL84" i="3"/>
  <c r="AK84" i="3"/>
  <c r="AJ84" i="3"/>
  <c r="M84" i="3"/>
  <c r="AB84" i="3"/>
  <c r="AA84" i="3"/>
  <c r="Z84" i="3"/>
  <c r="Y84" i="3"/>
  <c r="X84" i="3"/>
  <c r="W84" i="3"/>
  <c r="V84" i="3"/>
  <c r="E84" i="3"/>
  <c r="C92" i="4"/>
  <c r="B84" i="3"/>
  <c r="AB82" i="3"/>
  <c r="X82" i="3"/>
  <c r="Y82" i="3"/>
  <c r="B82" i="3"/>
  <c r="AL81" i="3"/>
  <c r="AM81" i="3"/>
  <c r="AF81" i="3"/>
  <c r="AB81" i="3"/>
  <c r="X81" i="3"/>
  <c r="Y81" i="3"/>
  <c r="BA81" i="3"/>
  <c r="BB81" i="3"/>
  <c r="N81" i="3"/>
  <c r="B81" i="3"/>
  <c r="AS80" i="3"/>
  <c r="AJ80" i="3"/>
  <c r="M80" i="3"/>
  <c r="BC80" i="3"/>
  <c r="AC80" i="3"/>
  <c r="AD80" i="3"/>
  <c r="E80" i="3"/>
  <c r="C88" i="4"/>
  <c r="B80" i="3"/>
  <c r="AH78" i="3"/>
  <c r="AC78" i="3"/>
  <c r="AD78" i="3"/>
  <c r="E78" i="3"/>
  <c r="B78" i="3"/>
  <c r="AG76" i="3"/>
  <c r="AF76" i="3"/>
  <c r="AI76" i="3"/>
  <c r="L76" i="3"/>
  <c r="J84" i="4"/>
  <c r="AB76" i="3"/>
  <c r="B76" i="3"/>
  <c r="AF75" i="3"/>
  <c r="K75" i="3"/>
  <c r="B75" i="3"/>
  <c r="AS73" i="3"/>
  <c r="AC73" i="3"/>
  <c r="AD73" i="3"/>
  <c r="E73" i="3"/>
  <c r="A73" i="3"/>
  <c r="B81" i="4"/>
  <c r="B73" i="3"/>
  <c r="E72" i="3"/>
  <c r="A72" i="3"/>
  <c r="B80" i="4"/>
  <c r="B72" i="3"/>
  <c r="E71" i="3"/>
  <c r="A71" i="3"/>
  <c r="B79" i="4"/>
  <c r="B71" i="3"/>
  <c r="E70" i="3"/>
  <c r="A70" i="3"/>
  <c r="B78" i="4"/>
  <c r="B70" i="3"/>
  <c r="AY69" i="3"/>
  <c r="AX69" i="3"/>
  <c r="AP69" i="3"/>
  <c r="AO69" i="3"/>
  <c r="AN69" i="3"/>
  <c r="AM69" i="3"/>
  <c r="AL69" i="3"/>
  <c r="AK69" i="3"/>
  <c r="AJ69" i="3"/>
  <c r="M69" i="3"/>
  <c r="E69" i="3"/>
  <c r="A69" i="3"/>
  <c r="B77" i="4"/>
  <c r="B69" i="3"/>
  <c r="AG68" i="3"/>
  <c r="AS68" i="3"/>
  <c r="I76" i="4"/>
  <c r="G76" i="4"/>
  <c r="B68" i="3"/>
  <c r="AY66" i="3"/>
  <c r="AX66" i="3"/>
  <c r="AS66" i="3"/>
  <c r="AP66" i="3"/>
  <c r="AO66" i="3"/>
  <c r="AN66" i="3"/>
  <c r="AM66" i="3"/>
  <c r="AL66" i="3"/>
  <c r="AK66" i="3"/>
  <c r="AJ66" i="3"/>
  <c r="M66" i="3"/>
  <c r="AB66" i="3"/>
  <c r="AA66" i="3"/>
  <c r="E66" i="3"/>
  <c r="B66" i="3"/>
  <c r="AL65" i="3"/>
  <c r="AL68" i="3"/>
  <c r="BA65" i="3"/>
  <c r="B65" i="3"/>
  <c r="AY64" i="3"/>
  <c r="AX64" i="3"/>
  <c r="AP64" i="3"/>
  <c r="AO64" i="3"/>
  <c r="AN64" i="3"/>
  <c r="AM64" i="3"/>
  <c r="AL64" i="3"/>
  <c r="AK64" i="3"/>
  <c r="AJ64" i="3"/>
  <c r="M64" i="3"/>
  <c r="AB64" i="3"/>
  <c r="AA64" i="3"/>
  <c r="Z64" i="3"/>
  <c r="Y64" i="3"/>
  <c r="X64" i="3"/>
  <c r="W64" i="3"/>
  <c r="V64" i="3"/>
  <c r="F64" i="3"/>
  <c r="D73" i="4"/>
  <c r="E64" i="3"/>
  <c r="B64" i="3"/>
  <c r="AM63" i="3"/>
  <c r="AL63" i="3"/>
  <c r="AK63" i="3"/>
  <c r="AH63" i="3"/>
  <c r="E63" i="3"/>
  <c r="B63" i="3"/>
  <c r="AM61" i="3"/>
  <c r="AL61" i="3"/>
  <c r="AH61" i="3"/>
  <c r="E61" i="3"/>
  <c r="C71" i="4"/>
  <c r="B61" i="3"/>
  <c r="AM60" i="3"/>
  <c r="AL60" i="3"/>
  <c r="AK60" i="3"/>
  <c r="AH60" i="3"/>
  <c r="E60" i="3"/>
  <c r="A60" i="3"/>
  <c r="B70" i="4"/>
  <c r="B60" i="3"/>
  <c r="AM59" i="3"/>
  <c r="AL59" i="3"/>
  <c r="AK59" i="3"/>
  <c r="E59" i="3"/>
  <c r="A59" i="3"/>
  <c r="B69" i="4"/>
  <c r="B59" i="3"/>
  <c r="AM58" i="3"/>
  <c r="AL58" i="3"/>
  <c r="AK58" i="3"/>
  <c r="AH58" i="3"/>
  <c r="E58" i="3"/>
  <c r="B58" i="3"/>
  <c r="AY56" i="3"/>
  <c r="AY57" i="3"/>
  <c r="AX56" i="3"/>
  <c r="AX57" i="3"/>
  <c r="AP56" i="3"/>
  <c r="AP57" i="3"/>
  <c r="AO56" i="3"/>
  <c r="AO57" i="3"/>
  <c r="AN56" i="3"/>
  <c r="AN57" i="3"/>
  <c r="AB56" i="3"/>
  <c r="Z56" i="3"/>
  <c r="AR56" i="3"/>
  <c r="W56" i="3"/>
  <c r="X56" i="3"/>
  <c r="E56" i="3"/>
  <c r="C66" i="4"/>
  <c r="B56" i="3"/>
  <c r="AM55" i="3"/>
  <c r="AM56" i="3"/>
  <c r="AM57" i="3"/>
  <c r="AL55" i="3"/>
  <c r="AL56" i="3"/>
  <c r="AL57" i="3"/>
  <c r="AH55" i="3"/>
  <c r="AT55" i="3"/>
  <c r="AJ55" i="3"/>
  <c r="M55" i="3"/>
  <c r="BC55" i="3"/>
  <c r="E55" i="3"/>
  <c r="B55" i="3"/>
  <c r="AM54" i="3"/>
  <c r="AL54" i="3"/>
  <c r="AH54" i="3"/>
  <c r="AT54" i="3"/>
  <c r="AS54" i="3"/>
  <c r="E54" i="3"/>
  <c r="C64" i="4"/>
  <c r="B54" i="3"/>
  <c r="AM53" i="3"/>
  <c r="AL53" i="3"/>
  <c r="E53" i="3"/>
  <c r="C63" i="4"/>
  <c r="B53" i="3"/>
  <c r="AM52" i="3"/>
  <c r="AL52" i="3"/>
  <c r="AK52" i="3"/>
  <c r="AH52" i="3"/>
  <c r="AT52" i="3"/>
  <c r="AS52" i="3"/>
  <c r="E52" i="3"/>
  <c r="B52" i="3"/>
  <c r="AM51" i="3"/>
  <c r="AL51" i="3"/>
  <c r="AK51" i="3"/>
  <c r="AH51" i="3"/>
  <c r="E51" i="3"/>
  <c r="C61" i="4"/>
  <c r="B51" i="3"/>
  <c r="AM50" i="3"/>
  <c r="AL50" i="3"/>
  <c r="AH50" i="3"/>
  <c r="AT50" i="3"/>
  <c r="AS50" i="3"/>
  <c r="E50" i="3"/>
  <c r="B50" i="3"/>
  <c r="AM49" i="3"/>
  <c r="AL49" i="3"/>
  <c r="AK49" i="3"/>
  <c r="AH49" i="3"/>
  <c r="E49" i="3"/>
  <c r="C59" i="4"/>
  <c r="B49" i="3"/>
  <c r="AH48" i="3"/>
  <c r="AT48" i="3"/>
  <c r="AS48" i="3"/>
  <c r="AM48" i="3"/>
  <c r="AL48" i="3"/>
  <c r="AK48" i="3"/>
  <c r="E48" i="3"/>
  <c r="A48" i="3"/>
  <c r="B58" i="4"/>
  <c r="B48" i="3"/>
  <c r="AM47" i="3"/>
  <c r="AL47" i="3"/>
  <c r="AH47" i="3"/>
  <c r="E47" i="3"/>
  <c r="B47" i="3"/>
  <c r="AM46" i="3"/>
  <c r="AL46" i="3"/>
  <c r="AH46" i="3"/>
  <c r="E46" i="3"/>
  <c r="B46" i="3"/>
  <c r="AM42" i="3"/>
  <c r="AM44" i="3"/>
  <c r="AM45" i="3"/>
  <c r="AL42" i="3"/>
  <c r="AH42" i="3"/>
  <c r="E42" i="3"/>
  <c r="C53" i="4"/>
  <c r="AS43" i="3"/>
  <c r="AM43" i="3"/>
  <c r="AL43" i="3"/>
  <c r="AK43" i="3"/>
  <c r="AJ43" i="3"/>
  <c r="M43" i="3"/>
  <c r="BC43" i="3"/>
  <c r="E43" i="3"/>
  <c r="C52" i="4"/>
  <c r="AM41" i="3"/>
  <c r="AL41" i="3"/>
  <c r="AK41" i="3"/>
  <c r="AH41" i="3"/>
  <c r="AT41" i="3"/>
  <c r="AS41" i="3"/>
  <c r="J41" i="3"/>
  <c r="H51" i="4"/>
  <c r="E41" i="3"/>
  <c r="C51" i="4"/>
  <c r="B41" i="3"/>
  <c r="AM40" i="3"/>
  <c r="AL40" i="3"/>
  <c r="AK40" i="3"/>
  <c r="AH40" i="3"/>
  <c r="AT40" i="3"/>
  <c r="AS40" i="3"/>
  <c r="J40" i="3"/>
  <c r="H50" i="4"/>
  <c r="E40" i="3"/>
  <c r="A40" i="3"/>
  <c r="B50" i="4"/>
  <c r="B40" i="3"/>
  <c r="AY39" i="3"/>
  <c r="AX39" i="3"/>
  <c r="AP39" i="3"/>
  <c r="AO39" i="3"/>
  <c r="AN39" i="3"/>
  <c r="AJ39" i="3"/>
  <c r="M39" i="3"/>
  <c r="BC39" i="3"/>
  <c r="AB39" i="3"/>
  <c r="AA39" i="3"/>
  <c r="Z39" i="3"/>
  <c r="W39" i="3"/>
  <c r="V39" i="3"/>
  <c r="J39" i="3"/>
  <c r="H49" i="4"/>
  <c r="E39" i="3"/>
  <c r="B39" i="3"/>
  <c r="AM38" i="3"/>
  <c r="AL38" i="3"/>
  <c r="AL39" i="3"/>
  <c r="AH38" i="3"/>
  <c r="AT38" i="3"/>
  <c r="AJ38" i="3"/>
  <c r="M38" i="3"/>
  <c r="BC38" i="3"/>
  <c r="J38" i="3"/>
  <c r="H48" i="4"/>
  <c r="E38" i="3"/>
  <c r="B38" i="3"/>
  <c r="AM37" i="3"/>
  <c r="AL37" i="3"/>
  <c r="AH37" i="3"/>
  <c r="AT37" i="3"/>
  <c r="AS37" i="3"/>
  <c r="J37" i="3"/>
  <c r="H47" i="4"/>
  <c r="E37" i="3"/>
  <c r="B37" i="3"/>
  <c r="AM36" i="3"/>
  <c r="AL36" i="3"/>
  <c r="AH36" i="3"/>
  <c r="AT36" i="3"/>
  <c r="AS36" i="3"/>
  <c r="J36" i="3"/>
  <c r="H46" i="4"/>
  <c r="E36" i="3"/>
  <c r="C46" i="4"/>
  <c r="B36" i="3"/>
  <c r="AH30" i="3"/>
  <c r="AT30" i="3"/>
  <c r="AS30" i="3"/>
  <c r="AK30" i="3"/>
  <c r="E30" i="3"/>
  <c r="B30" i="3"/>
  <c r="AY29" i="3"/>
  <c r="AX29" i="3"/>
  <c r="AP29" i="3"/>
  <c r="AO29" i="3"/>
  <c r="AN29" i="3"/>
  <c r="AJ29" i="3"/>
  <c r="M29" i="3"/>
  <c r="BC29" i="3"/>
  <c r="AB29" i="3"/>
  <c r="AA29" i="3"/>
  <c r="Z29" i="3"/>
  <c r="W29" i="3"/>
  <c r="V29" i="3"/>
  <c r="AR29" i="3"/>
  <c r="E29" i="3"/>
  <c r="B29" i="3"/>
  <c r="AI28" i="3"/>
  <c r="L28" i="3"/>
  <c r="J38" i="4"/>
  <c r="E28" i="3"/>
  <c r="B28" i="3"/>
  <c r="AH27" i="3"/>
  <c r="AT27" i="3"/>
  <c r="AS27" i="3"/>
  <c r="E27" i="3"/>
  <c r="B27" i="3"/>
  <c r="AI25" i="3"/>
  <c r="L25" i="3"/>
  <c r="J35" i="4"/>
  <c r="E25" i="3"/>
  <c r="B25" i="3"/>
  <c r="AS23" i="3"/>
  <c r="AJ23" i="3"/>
  <c r="M23" i="3"/>
  <c r="BC23" i="3"/>
  <c r="E23" i="3"/>
  <c r="AJ22" i="3"/>
  <c r="M22" i="3"/>
  <c r="BC22" i="3"/>
  <c r="E22" i="3"/>
  <c r="B22" i="3"/>
  <c r="AJ21" i="3"/>
  <c r="M21" i="3"/>
  <c r="BC21" i="3"/>
  <c r="E21" i="3"/>
  <c r="B21" i="3"/>
  <c r="AS20" i="3"/>
  <c r="AJ20" i="3"/>
  <c r="M20" i="3"/>
  <c r="BC20" i="3"/>
  <c r="E20" i="3"/>
  <c r="B20" i="3"/>
  <c r="B19" i="3"/>
  <c r="AH17" i="3"/>
  <c r="E17" i="3"/>
  <c r="C28" i="4"/>
  <c r="B17" i="3"/>
  <c r="AJ16" i="3"/>
  <c r="M16" i="3"/>
  <c r="BC16" i="3"/>
  <c r="E16" i="3"/>
  <c r="A16" i="3"/>
  <c r="B16" i="3"/>
  <c r="AS15" i="3"/>
  <c r="AJ15" i="3"/>
  <c r="M15" i="3"/>
  <c r="BC15" i="3"/>
  <c r="E15" i="3"/>
  <c r="B15" i="3"/>
  <c r="AS14" i="3"/>
  <c r="AJ14" i="3"/>
  <c r="M14" i="3"/>
  <c r="BC14" i="3"/>
  <c r="E14" i="3"/>
  <c r="C25" i="4"/>
  <c r="B14" i="3"/>
  <c r="AS13" i="3"/>
  <c r="AJ13" i="3"/>
  <c r="M13" i="3"/>
  <c r="BC13" i="3"/>
  <c r="E13" i="3"/>
  <c r="A13" i="3"/>
  <c r="B13" i="3"/>
  <c r="B12" i="3"/>
  <c r="I20" i="4"/>
  <c r="E9" i="3"/>
  <c r="C20" i="4"/>
  <c r="B9" i="3"/>
  <c r="E8" i="3"/>
  <c r="C19" i="4"/>
  <c r="B8" i="3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E20" i="11"/>
  <c r="E19" i="11"/>
  <c r="E18" i="11"/>
  <c r="F105" i="6"/>
  <c r="S105" i="6"/>
  <c r="S104" i="6"/>
  <c r="S101" i="6"/>
  <c r="S100" i="6"/>
  <c r="S99" i="6"/>
  <c r="R105" i="6"/>
  <c r="R104" i="6"/>
  <c r="R101" i="6"/>
  <c r="R100" i="6"/>
  <c r="R99" i="6"/>
  <c r="R116" i="6"/>
  <c r="R115" i="6"/>
  <c r="R112" i="6"/>
  <c r="R111" i="6"/>
  <c r="R110" i="6"/>
  <c r="S110" i="6"/>
  <c r="S111" i="6"/>
  <c r="S112" i="6"/>
  <c r="S115" i="6"/>
  <c r="S116" i="6"/>
  <c r="Z116" i="6"/>
  <c r="G110" i="6"/>
  <c r="B22" i="2"/>
  <c r="B55" i="2"/>
  <c r="B23" i="2"/>
  <c r="B56" i="2"/>
  <c r="B18" i="2"/>
  <c r="B51" i="2"/>
  <c r="B19" i="2"/>
  <c r="B52" i="2"/>
  <c r="B20" i="2"/>
  <c r="B53" i="2"/>
  <c r="B21" i="2"/>
  <c r="B54" i="2"/>
  <c r="I18" i="2"/>
  <c r="J18" i="2"/>
  <c r="K18" i="2"/>
  <c r="L18" i="2"/>
  <c r="M18" i="2"/>
  <c r="I19" i="2"/>
  <c r="J19" i="2"/>
  <c r="K19" i="2"/>
  <c r="L19" i="2"/>
  <c r="M19" i="2"/>
  <c r="I20" i="2"/>
  <c r="J20" i="2"/>
  <c r="K20" i="2"/>
  <c r="L20" i="2"/>
  <c r="M20" i="2"/>
  <c r="I21" i="2"/>
  <c r="J21" i="2"/>
  <c r="K21" i="2"/>
  <c r="L21" i="2"/>
  <c r="M21" i="2"/>
  <c r="I22" i="2"/>
  <c r="J22" i="2"/>
  <c r="K22" i="2"/>
  <c r="L22" i="2"/>
  <c r="M22" i="2"/>
  <c r="I23" i="2"/>
  <c r="J23" i="2"/>
  <c r="K23" i="2"/>
  <c r="L23" i="2"/>
  <c r="M23" i="2"/>
  <c r="D20" i="4"/>
  <c r="E20" i="4"/>
  <c r="F20" i="4"/>
  <c r="E23" i="4"/>
  <c r="F23" i="4"/>
  <c r="D24" i="4"/>
  <c r="E24" i="4"/>
  <c r="F24" i="4"/>
  <c r="G24" i="4"/>
  <c r="I24" i="4"/>
  <c r="D25" i="4"/>
  <c r="E25" i="4"/>
  <c r="F25" i="4"/>
  <c r="G25" i="4"/>
  <c r="I25" i="4"/>
  <c r="D26" i="4"/>
  <c r="E26" i="4"/>
  <c r="F26" i="4"/>
  <c r="G26" i="4"/>
  <c r="I26" i="4"/>
  <c r="D27" i="4"/>
  <c r="E27" i="4"/>
  <c r="F27" i="4"/>
  <c r="G27" i="4"/>
  <c r="I27" i="4"/>
  <c r="D28" i="4"/>
  <c r="E28" i="4"/>
  <c r="F28" i="4"/>
  <c r="G28" i="4"/>
  <c r="I28" i="4"/>
  <c r="E29" i="4"/>
  <c r="F29" i="4"/>
  <c r="G29" i="4"/>
  <c r="I29" i="4"/>
  <c r="E30" i="4"/>
  <c r="F30" i="4"/>
  <c r="G30" i="4"/>
  <c r="I30" i="4"/>
  <c r="D31" i="4"/>
  <c r="E31" i="4"/>
  <c r="F31" i="4"/>
  <c r="G31" i="4"/>
  <c r="I31" i="4"/>
  <c r="D32" i="4"/>
  <c r="E32" i="4"/>
  <c r="F32" i="4"/>
  <c r="G32" i="4"/>
  <c r="I32" i="4"/>
  <c r="D33" i="4"/>
  <c r="E33" i="4"/>
  <c r="F33" i="4"/>
  <c r="G33" i="4"/>
  <c r="I33" i="4"/>
  <c r="D34" i="4"/>
  <c r="E34" i="4"/>
  <c r="F34" i="4"/>
  <c r="G34" i="4"/>
  <c r="I34" i="4"/>
  <c r="D35" i="4"/>
  <c r="E35" i="4"/>
  <c r="F35" i="4"/>
  <c r="G35" i="4"/>
  <c r="I35" i="4"/>
  <c r="E36" i="4"/>
  <c r="F36" i="4"/>
  <c r="G36" i="4"/>
  <c r="D37" i="4"/>
  <c r="E37" i="4"/>
  <c r="F37" i="4"/>
  <c r="G37" i="4"/>
  <c r="I37" i="4"/>
  <c r="D38" i="4"/>
  <c r="E38" i="4"/>
  <c r="F38" i="4"/>
  <c r="G38" i="4"/>
  <c r="I38" i="4"/>
  <c r="D39" i="4"/>
  <c r="E39" i="4"/>
  <c r="F39" i="4"/>
  <c r="G39" i="4"/>
  <c r="I39" i="4"/>
  <c r="D40" i="4"/>
  <c r="E40" i="4"/>
  <c r="F40" i="4"/>
  <c r="G40" i="4"/>
  <c r="I40" i="4"/>
  <c r="D41" i="4"/>
  <c r="E41" i="4"/>
  <c r="F41" i="4"/>
  <c r="G41" i="4"/>
  <c r="I41" i="4"/>
  <c r="D46" i="4"/>
  <c r="E46" i="4"/>
  <c r="F46" i="4"/>
  <c r="G46" i="4"/>
  <c r="I46" i="4"/>
  <c r="D47" i="4"/>
  <c r="E47" i="4"/>
  <c r="F47" i="4"/>
  <c r="G47" i="4"/>
  <c r="I47" i="4"/>
  <c r="D48" i="4"/>
  <c r="E48" i="4"/>
  <c r="F48" i="4"/>
  <c r="G48" i="4"/>
  <c r="I48" i="4"/>
  <c r="E49" i="4"/>
  <c r="F49" i="4"/>
  <c r="G49" i="4"/>
  <c r="I49" i="4"/>
  <c r="D50" i="4"/>
  <c r="E50" i="4"/>
  <c r="F50" i="4"/>
  <c r="G50" i="4"/>
  <c r="I50" i="4"/>
  <c r="D51" i="4"/>
  <c r="E51" i="4"/>
  <c r="F51" i="4"/>
  <c r="G51" i="4"/>
  <c r="I51" i="4"/>
  <c r="D52" i="4"/>
  <c r="E52" i="4"/>
  <c r="F52" i="4"/>
  <c r="G52" i="4"/>
  <c r="I52" i="4"/>
  <c r="D53" i="4"/>
  <c r="E53" i="4"/>
  <c r="F53" i="4"/>
  <c r="G53" i="4"/>
  <c r="I53" i="4"/>
  <c r="E54" i="4"/>
  <c r="F54" i="4"/>
  <c r="G54" i="4"/>
  <c r="I54" i="4"/>
  <c r="E55" i="4"/>
  <c r="F55" i="4"/>
  <c r="G55" i="4"/>
  <c r="I55" i="4"/>
  <c r="D56" i="4"/>
  <c r="E56" i="4"/>
  <c r="F56" i="4"/>
  <c r="G56" i="4"/>
  <c r="I56" i="4"/>
  <c r="D57" i="4"/>
  <c r="E57" i="4"/>
  <c r="F57" i="4"/>
  <c r="G57" i="4"/>
  <c r="I57" i="4"/>
  <c r="D58" i="4"/>
  <c r="E58" i="4"/>
  <c r="F58" i="4"/>
  <c r="G58" i="4"/>
  <c r="I58" i="4"/>
  <c r="D59" i="4"/>
  <c r="E59" i="4"/>
  <c r="F59" i="4"/>
  <c r="G59" i="4"/>
  <c r="I59" i="4"/>
  <c r="D60" i="4"/>
  <c r="E60" i="4"/>
  <c r="F60" i="4"/>
  <c r="G60" i="4"/>
  <c r="I60" i="4"/>
  <c r="D61" i="4"/>
  <c r="E61" i="4"/>
  <c r="F61" i="4"/>
  <c r="G61" i="4"/>
  <c r="I61" i="4"/>
  <c r="D62" i="4"/>
  <c r="E62" i="4"/>
  <c r="F62" i="4"/>
  <c r="G62" i="4"/>
  <c r="I62" i="4"/>
  <c r="D63" i="4"/>
  <c r="E63" i="4"/>
  <c r="F63" i="4"/>
  <c r="G63" i="4"/>
  <c r="I63" i="4"/>
  <c r="D64" i="4"/>
  <c r="E64" i="4"/>
  <c r="F64" i="4"/>
  <c r="G64" i="4"/>
  <c r="I64" i="4"/>
  <c r="D65" i="4"/>
  <c r="E65" i="4"/>
  <c r="F65" i="4"/>
  <c r="G65" i="4"/>
  <c r="I65" i="4"/>
  <c r="E66" i="4"/>
  <c r="F66" i="4"/>
  <c r="G66" i="4"/>
  <c r="I66" i="4"/>
  <c r="E67" i="4"/>
  <c r="F67" i="4"/>
  <c r="G67" i="4"/>
  <c r="I67" i="4"/>
  <c r="D68" i="4"/>
  <c r="E68" i="4"/>
  <c r="F68" i="4"/>
  <c r="G68" i="4"/>
  <c r="I68" i="4"/>
  <c r="D69" i="4"/>
  <c r="E69" i="4"/>
  <c r="F69" i="4"/>
  <c r="G69" i="4"/>
  <c r="I69" i="4"/>
  <c r="D70" i="4"/>
  <c r="E70" i="4"/>
  <c r="F70" i="4"/>
  <c r="G70" i="4"/>
  <c r="I70" i="4"/>
  <c r="D71" i="4"/>
  <c r="E71" i="4"/>
  <c r="F71" i="4"/>
  <c r="G71" i="4"/>
  <c r="I71" i="4"/>
  <c r="D72" i="4"/>
  <c r="E72" i="4"/>
  <c r="F72" i="4"/>
  <c r="G72" i="4"/>
  <c r="I72" i="4"/>
  <c r="E73" i="4"/>
  <c r="F73" i="4"/>
  <c r="G73" i="4"/>
  <c r="I73" i="4"/>
  <c r="D74" i="4"/>
  <c r="E74" i="4"/>
  <c r="F74" i="4"/>
  <c r="D75" i="4"/>
  <c r="E75" i="4"/>
  <c r="F75" i="4"/>
  <c r="G75" i="4"/>
  <c r="I75" i="4"/>
  <c r="D76" i="4"/>
  <c r="E76" i="4"/>
  <c r="F76" i="4"/>
  <c r="D77" i="4"/>
  <c r="E77" i="4"/>
  <c r="F77" i="4"/>
  <c r="G77" i="4"/>
  <c r="I77" i="4"/>
  <c r="D78" i="4"/>
  <c r="E78" i="4"/>
  <c r="F78" i="4"/>
  <c r="G78" i="4"/>
  <c r="H78" i="4"/>
  <c r="I78" i="4"/>
  <c r="J78" i="4"/>
  <c r="K78" i="4"/>
  <c r="L78" i="4"/>
  <c r="D79" i="4"/>
  <c r="E79" i="4"/>
  <c r="F79" i="4"/>
  <c r="G79" i="4"/>
  <c r="H79" i="4"/>
  <c r="I79" i="4"/>
  <c r="J79" i="4"/>
  <c r="N79" i="4"/>
  <c r="K79" i="4"/>
  <c r="L79" i="4"/>
  <c r="D80" i="4"/>
  <c r="E80" i="4"/>
  <c r="F80" i="4"/>
  <c r="G80" i="4"/>
  <c r="H80" i="4"/>
  <c r="I80" i="4"/>
  <c r="J80" i="4"/>
  <c r="K80" i="4"/>
  <c r="L80" i="4"/>
  <c r="D81" i="4"/>
  <c r="E81" i="4"/>
  <c r="F81" i="4"/>
  <c r="G81" i="4"/>
  <c r="I81" i="4"/>
  <c r="E82" i="4"/>
  <c r="F82" i="4"/>
  <c r="D83" i="4"/>
  <c r="E83" i="4"/>
  <c r="F83" i="4"/>
  <c r="K83" i="4"/>
  <c r="D84" i="4"/>
  <c r="E84" i="4"/>
  <c r="F84" i="4"/>
  <c r="D86" i="4"/>
  <c r="E86" i="4"/>
  <c r="F86" i="4"/>
  <c r="G86" i="4"/>
  <c r="I86" i="4"/>
  <c r="E87" i="4"/>
  <c r="F87" i="4"/>
  <c r="D88" i="4"/>
  <c r="E88" i="4"/>
  <c r="F88" i="4"/>
  <c r="G88" i="4"/>
  <c r="I88" i="4"/>
  <c r="D89" i="4"/>
  <c r="E89" i="4"/>
  <c r="F89" i="4"/>
  <c r="D90" i="4"/>
  <c r="E90" i="4"/>
  <c r="F90" i="4"/>
  <c r="D92" i="4"/>
  <c r="E92" i="4"/>
  <c r="F92" i="4"/>
  <c r="G92" i="4"/>
  <c r="I92" i="4"/>
  <c r="D98" i="4"/>
  <c r="E98" i="4"/>
  <c r="F98" i="4"/>
  <c r="G98" i="4"/>
  <c r="I98" i="4"/>
  <c r="D99" i="4"/>
  <c r="E99" i="4"/>
  <c r="F99" i="4"/>
  <c r="G99" i="4"/>
  <c r="I99" i="4"/>
  <c r="D100" i="4"/>
  <c r="E100" i="4"/>
  <c r="F100" i="4"/>
  <c r="G100" i="4"/>
  <c r="I100" i="4"/>
  <c r="D101" i="4"/>
  <c r="E101" i="4"/>
  <c r="F101" i="4"/>
  <c r="G101" i="4"/>
  <c r="I101" i="4"/>
  <c r="D102" i="4"/>
  <c r="E102" i="4"/>
  <c r="F102" i="4"/>
  <c r="G102" i="4"/>
  <c r="I102" i="4"/>
  <c r="D103" i="4"/>
  <c r="E103" i="4"/>
  <c r="F103" i="4"/>
  <c r="G103" i="4"/>
  <c r="I103" i="4"/>
  <c r="K103" i="4"/>
  <c r="D104" i="4"/>
  <c r="E104" i="4"/>
  <c r="F104" i="4"/>
  <c r="G104" i="4"/>
  <c r="I104" i="4"/>
  <c r="D105" i="4"/>
  <c r="E105" i="4"/>
  <c r="F105" i="4"/>
  <c r="G105" i="4"/>
  <c r="I105" i="4"/>
  <c r="D106" i="4"/>
  <c r="E106" i="4"/>
  <c r="F106" i="4"/>
  <c r="G106" i="4"/>
  <c r="I106" i="4"/>
  <c r="D107" i="4"/>
  <c r="E107" i="4"/>
  <c r="F107" i="4"/>
  <c r="G107" i="4"/>
  <c r="I107" i="4"/>
  <c r="K107" i="4"/>
  <c r="D108" i="4"/>
  <c r="E108" i="4"/>
  <c r="F108" i="4"/>
  <c r="G108" i="4"/>
  <c r="I108" i="4"/>
  <c r="K108" i="4"/>
  <c r="D109" i="4"/>
  <c r="E109" i="4"/>
  <c r="F109" i="4"/>
  <c r="G109" i="4"/>
  <c r="I109" i="4"/>
  <c r="K109" i="4"/>
  <c r="D19" i="4"/>
  <c r="E19" i="4"/>
  <c r="F19" i="4"/>
  <c r="G19" i="4"/>
  <c r="Y19" i="5"/>
  <c r="Y20" i="5"/>
  <c r="Y17" i="5"/>
  <c r="Y16" i="5"/>
  <c r="Y13" i="5"/>
  <c r="Z13" i="5"/>
  <c r="Y14" i="5"/>
  <c r="Z14" i="5"/>
  <c r="Y15" i="5"/>
  <c r="Z15" i="5"/>
  <c r="Z12" i="5"/>
  <c r="Y12" i="5"/>
  <c r="Z11" i="5"/>
  <c r="Y11" i="5"/>
  <c r="A15" i="6"/>
  <c r="A16" i="6"/>
  <c r="A17" i="6"/>
  <c r="A18" i="6"/>
  <c r="A19" i="6"/>
  <c r="A20" i="6"/>
  <c r="A21" i="6"/>
  <c r="A22" i="6"/>
  <c r="A23" i="6"/>
  <c r="A24" i="6"/>
  <c r="A26" i="6"/>
  <c r="A28" i="6"/>
  <c r="A29" i="6"/>
  <c r="A33" i="6"/>
  <c r="A35" i="6"/>
  <c r="A39" i="6"/>
  <c r="A40" i="6"/>
  <c r="A41" i="6"/>
  <c r="A50" i="6"/>
  <c r="A51" i="6"/>
  <c r="A55" i="6"/>
  <c r="A56" i="6"/>
  <c r="A60" i="6"/>
  <c r="A46" i="6"/>
  <c r="A72" i="6"/>
  <c r="A73" i="6"/>
  <c r="A96" i="6"/>
  <c r="A98" i="6"/>
  <c r="A99" i="6"/>
  <c r="A100" i="6"/>
  <c r="A101" i="6"/>
  <c r="A103" i="6"/>
  <c r="A104" i="6"/>
  <c r="A105" i="6"/>
  <c r="A107" i="6"/>
  <c r="A109" i="6"/>
  <c r="A110" i="6"/>
  <c r="A111" i="6"/>
  <c r="A112" i="6"/>
  <c r="A114" i="6"/>
  <c r="A115" i="6"/>
  <c r="A116" i="6"/>
  <c r="A117" i="6"/>
  <c r="A13" i="6"/>
  <c r="O16" i="5"/>
  <c r="E6" i="13"/>
  <c r="E7" i="13"/>
  <c r="E8" i="13"/>
  <c r="E9" i="13"/>
  <c r="D17" i="13"/>
  <c r="D28" i="13"/>
  <c r="D18" i="13"/>
  <c r="D29" i="13"/>
  <c r="D19" i="13"/>
  <c r="D20" i="13"/>
  <c r="D18" i="15"/>
  <c r="E18" i="15"/>
  <c r="F18" i="15"/>
  <c r="D19" i="15"/>
  <c r="F19" i="15"/>
  <c r="H19" i="15"/>
  <c r="E19" i="15"/>
  <c r="K19" i="15"/>
  <c r="N19" i="15"/>
  <c r="D20" i="15"/>
  <c r="E20" i="15"/>
  <c r="F20" i="15"/>
  <c r="D22" i="15"/>
  <c r="E22" i="15"/>
  <c r="F22" i="15"/>
  <c r="D23" i="15"/>
  <c r="F23" i="15"/>
  <c r="H23" i="15"/>
  <c r="O23" i="15"/>
  <c r="E23" i="15"/>
  <c r="D18" i="11"/>
  <c r="F18" i="11"/>
  <c r="D19" i="11"/>
  <c r="F19" i="11"/>
  <c r="N19" i="11"/>
  <c r="P19" i="11"/>
  <c r="D20" i="11"/>
  <c r="F20" i="11"/>
  <c r="H20" i="11"/>
  <c r="K20" i="11"/>
  <c r="N20" i="11"/>
  <c r="P20" i="11"/>
  <c r="D22" i="11"/>
  <c r="E22" i="11"/>
  <c r="F22" i="11"/>
  <c r="N22" i="11"/>
  <c r="P22" i="11"/>
  <c r="D23" i="11"/>
  <c r="F23" i="11"/>
  <c r="H23" i="11"/>
  <c r="E23" i="11"/>
  <c r="N23" i="11"/>
  <c r="I18" i="10"/>
  <c r="K18" i="10"/>
  <c r="J18" i="10"/>
  <c r="L18" i="10"/>
  <c r="M18" i="10"/>
  <c r="I19" i="10"/>
  <c r="K19" i="10"/>
  <c r="M19" i="10"/>
  <c r="J19" i="10"/>
  <c r="L19" i="10"/>
  <c r="N19" i="10"/>
  <c r="I20" i="10"/>
  <c r="K20" i="10"/>
  <c r="J20" i="10"/>
  <c r="L20" i="10"/>
  <c r="M20" i="10"/>
  <c r="I21" i="10"/>
  <c r="K21" i="10"/>
  <c r="M21" i="10"/>
  <c r="J21" i="10"/>
  <c r="L21" i="10"/>
  <c r="N21" i="10"/>
  <c r="I22" i="10"/>
  <c r="K22" i="10"/>
  <c r="J22" i="10"/>
  <c r="L22" i="10"/>
  <c r="M22" i="10"/>
  <c r="I23" i="10"/>
  <c r="K23" i="10"/>
  <c r="M23" i="10"/>
  <c r="J23" i="10"/>
  <c r="L23" i="10"/>
  <c r="N23" i="10"/>
  <c r="I24" i="10"/>
  <c r="K24" i="10"/>
  <c r="J24" i="10"/>
  <c r="L24" i="10"/>
  <c r="N24" i="10"/>
  <c r="M24" i="10"/>
  <c r="I5" i="9"/>
  <c r="I8" i="9"/>
  <c r="C17" i="9"/>
  <c r="C18" i="9"/>
  <c r="C20" i="9"/>
  <c r="C22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D22" i="8"/>
  <c r="B15" i="6"/>
  <c r="O16" i="6"/>
  <c r="P16" i="6"/>
  <c r="Q16" i="6"/>
  <c r="AA16" i="6"/>
  <c r="R16" i="6"/>
  <c r="S16" i="6"/>
  <c r="B17" i="6"/>
  <c r="I18" i="6"/>
  <c r="O18" i="6"/>
  <c r="P18" i="6"/>
  <c r="Z18" i="6"/>
  <c r="Q18" i="6"/>
  <c r="AA18" i="6"/>
  <c r="R18" i="6"/>
  <c r="S18" i="6"/>
  <c r="B19" i="6"/>
  <c r="O20" i="6"/>
  <c r="P20" i="6"/>
  <c r="Q20" i="6"/>
  <c r="R20" i="6"/>
  <c r="S20" i="6"/>
  <c r="B21" i="6"/>
  <c r="AA22" i="6"/>
  <c r="R22" i="6"/>
  <c r="S22" i="6"/>
  <c r="B23" i="6"/>
  <c r="R24" i="6"/>
  <c r="S24" i="6"/>
  <c r="AA24" i="6"/>
  <c r="B26" i="6"/>
  <c r="B28" i="6"/>
  <c r="B29" i="6"/>
  <c r="D30" i="6"/>
  <c r="AK30" i="6"/>
  <c r="D31" i="6"/>
  <c r="S31" i="6"/>
  <c r="D32" i="6"/>
  <c r="AK32" i="6"/>
  <c r="B33" i="6"/>
  <c r="B35" i="6"/>
  <c r="D36" i="6"/>
  <c r="AL36" i="6"/>
  <c r="D37" i="6"/>
  <c r="E37" i="6"/>
  <c r="D38" i="6"/>
  <c r="S38" i="6"/>
  <c r="B39" i="6"/>
  <c r="B40" i="6"/>
  <c r="D41" i="6"/>
  <c r="AL41" i="6"/>
  <c r="D42" i="6"/>
  <c r="S42" i="6"/>
  <c r="D43" i="6"/>
  <c r="E43" i="6"/>
  <c r="F43" i="6"/>
  <c r="B50" i="6"/>
  <c r="B51" i="6"/>
  <c r="B55" i="6"/>
  <c r="B56" i="6"/>
  <c r="B60" i="6"/>
  <c r="B46" i="6"/>
  <c r="D47" i="6"/>
  <c r="S47" i="6"/>
  <c r="D48" i="6"/>
  <c r="D49" i="6"/>
  <c r="R49" i="6"/>
  <c r="B72" i="6"/>
  <c r="D73" i="6"/>
  <c r="AK73" i="6"/>
  <c r="D74" i="6"/>
  <c r="S74" i="6"/>
  <c r="D75" i="6"/>
  <c r="AL75" i="6"/>
  <c r="B98" i="6"/>
  <c r="L99" i="6"/>
  <c r="I100" i="6"/>
  <c r="AD100" i="6"/>
  <c r="L100" i="6"/>
  <c r="N100" i="6"/>
  <c r="Y100" i="6"/>
  <c r="L101" i="6"/>
  <c r="N101" i="6"/>
  <c r="Z101" i="6"/>
  <c r="Y101" i="6"/>
  <c r="B103" i="6"/>
  <c r="N105" i="6"/>
  <c r="B109" i="6"/>
  <c r="AE110" i="6"/>
  <c r="L110" i="6"/>
  <c r="N110" i="6"/>
  <c r="Y110" i="6"/>
  <c r="F111" i="6"/>
  <c r="Z111" i="6"/>
  <c r="Y112" i="6"/>
  <c r="B114" i="6"/>
  <c r="F115" i="6"/>
  <c r="G115" i="6"/>
  <c r="X115" i="6"/>
  <c r="N115" i="6"/>
  <c r="Z115" i="6"/>
  <c r="Y115" i="6"/>
  <c r="F116" i="6"/>
  <c r="G116" i="6"/>
  <c r="N116" i="6"/>
  <c r="Q116" i="6"/>
  <c r="AA116" i="6"/>
  <c r="A10" i="5"/>
  <c r="A11" i="5"/>
  <c r="C11" i="5"/>
  <c r="A12" i="5"/>
  <c r="C12" i="5"/>
  <c r="A13" i="5"/>
  <c r="C13" i="5"/>
  <c r="A14" i="5"/>
  <c r="C14" i="5"/>
  <c r="A15" i="5"/>
  <c r="C15" i="5"/>
  <c r="A16" i="5"/>
  <c r="C16" i="5"/>
  <c r="S16" i="5"/>
  <c r="A17" i="5"/>
  <c r="C17" i="5"/>
  <c r="O17" i="5"/>
  <c r="S17" i="5"/>
  <c r="A18" i="5"/>
  <c r="C18" i="5"/>
  <c r="O18" i="5"/>
  <c r="S18" i="5"/>
  <c r="A19" i="5"/>
  <c r="C19" i="5"/>
  <c r="O19" i="5"/>
  <c r="S19" i="5"/>
  <c r="A20" i="5"/>
  <c r="C20" i="5"/>
  <c r="O20" i="5"/>
  <c r="S20" i="5"/>
  <c r="B18" i="4"/>
  <c r="D18" i="4"/>
  <c r="E18" i="4"/>
  <c r="G18" i="4"/>
  <c r="H18" i="4"/>
  <c r="I18" i="4"/>
  <c r="J18" i="4"/>
  <c r="K18" i="4"/>
  <c r="L18" i="4"/>
  <c r="H7" i="2"/>
  <c r="C11" i="18"/>
  <c r="H13" i="2"/>
  <c r="F15" i="18"/>
  <c r="AC13" i="2"/>
  <c r="H14" i="2"/>
  <c r="F16" i="18"/>
  <c r="AC14" i="2"/>
  <c r="H15" i="2"/>
  <c r="F17" i="18"/>
  <c r="AC15" i="2"/>
  <c r="H16" i="2"/>
  <c r="F18" i="18"/>
  <c r="AC16" i="2"/>
  <c r="AC17" i="2"/>
  <c r="H18" i="2"/>
  <c r="F20" i="18"/>
  <c r="AC18" i="2"/>
  <c r="H19" i="2"/>
  <c r="F21" i="18"/>
  <c r="AC19" i="2"/>
  <c r="H20" i="2"/>
  <c r="F22" i="18"/>
  <c r="AC20" i="2"/>
  <c r="H21" i="2"/>
  <c r="F23" i="18"/>
  <c r="AC21" i="2"/>
  <c r="H22" i="2"/>
  <c r="F24" i="18"/>
  <c r="AC22" i="2"/>
  <c r="H23" i="2"/>
  <c r="F25" i="18"/>
  <c r="AC23" i="2"/>
  <c r="AC24" i="2"/>
  <c r="AC25" i="2"/>
  <c r="AC26" i="2"/>
  <c r="AC27" i="2"/>
  <c r="H28" i="2"/>
  <c r="F30" i="18"/>
  <c r="AC28" i="2"/>
  <c r="AC29" i="2"/>
  <c r="F30" i="2"/>
  <c r="I33" i="2"/>
  <c r="I34" i="2"/>
  <c r="J35" i="2"/>
  <c r="K35" i="2"/>
  <c r="M35" i="2"/>
  <c r="J36" i="2"/>
  <c r="K36" i="2"/>
  <c r="Y36" i="2"/>
  <c r="Z36" i="2"/>
  <c r="AC36" i="2"/>
  <c r="Y37" i="2"/>
  <c r="AC37" i="2"/>
  <c r="C46" i="2"/>
  <c r="E46" i="2"/>
  <c r="F46" i="2"/>
  <c r="C47" i="2"/>
  <c r="E47" i="2"/>
  <c r="F47" i="2"/>
  <c r="C48" i="2"/>
  <c r="E48" i="2"/>
  <c r="F48" i="2"/>
  <c r="C49" i="2"/>
  <c r="E49" i="2"/>
  <c r="F49" i="2"/>
  <c r="C50" i="2"/>
  <c r="E50" i="2"/>
  <c r="F50" i="2"/>
  <c r="C51" i="2"/>
  <c r="E51" i="2"/>
  <c r="F51" i="2"/>
  <c r="C52" i="2"/>
  <c r="E52" i="2"/>
  <c r="F52" i="2"/>
  <c r="C53" i="2"/>
  <c r="E53" i="2"/>
  <c r="F53" i="2"/>
  <c r="C54" i="2"/>
  <c r="E54" i="2"/>
  <c r="F54" i="2"/>
  <c r="C55" i="2"/>
  <c r="E55" i="2"/>
  <c r="F55" i="2"/>
  <c r="C56" i="2"/>
  <c r="E56" i="2"/>
  <c r="F56" i="2"/>
  <c r="C58" i="2"/>
  <c r="D58" i="2"/>
  <c r="E58" i="2"/>
  <c r="F58" i="2"/>
  <c r="C59" i="2"/>
  <c r="D59" i="2"/>
  <c r="E59" i="2"/>
  <c r="F59" i="2"/>
  <c r="C61" i="2"/>
  <c r="E61" i="2"/>
  <c r="F61" i="2"/>
  <c r="C62" i="2"/>
  <c r="E62" i="2"/>
  <c r="F62" i="2"/>
  <c r="F63" i="2"/>
  <c r="C66" i="2"/>
  <c r="J20" i="6"/>
  <c r="AE20" i="6"/>
  <c r="J23" i="11"/>
  <c r="H22" i="11"/>
  <c r="H18" i="11"/>
  <c r="L111" i="6"/>
  <c r="K101" i="6"/>
  <c r="V101" i="6"/>
  <c r="Y16" i="6"/>
  <c r="L16" i="6"/>
  <c r="AJ56" i="3"/>
  <c r="M56" i="3"/>
  <c r="BC56" i="3"/>
  <c r="AJ25" i="3"/>
  <c r="M25" i="3"/>
  <c r="BC25" i="3"/>
  <c r="I36" i="4"/>
  <c r="AJ28" i="3"/>
  <c r="M28" i="3"/>
  <c r="BC28" i="3"/>
  <c r="L18" i="6"/>
  <c r="K116" i="6"/>
  <c r="V116" i="6"/>
  <c r="AA111" i="6"/>
  <c r="Q115" i="6"/>
  <c r="AA115" i="6"/>
  <c r="L115" i="6"/>
  <c r="AA20" i="6"/>
  <c r="N16" i="6"/>
  <c r="AF101" i="6"/>
  <c r="J16" i="6"/>
  <c r="AE16" i="6"/>
  <c r="N18" i="6"/>
  <c r="AS64" i="3"/>
  <c r="AS97" i="3"/>
  <c r="E26" i="3"/>
  <c r="C36" i="4"/>
  <c r="AA104" i="6"/>
  <c r="AJ44" i="3"/>
  <c r="M44" i="3"/>
  <c r="BC44" i="3"/>
  <c r="B17" i="2"/>
  <c r="B50" i="2"/>
  <c r="R50" i="2"/>
  <c r="J50" i="2"/>
  <c r="I17" i="2"/>
  <c r="S50" i="2"/>
  <c r="K50" i="2"/>
  <c r="P50" i="2"/>
  <c r="H50" i="2"/>
  <c r="Q50" i="2"/>
  <c r="I50" i="2"/>
  <c r="L17" i="2"/>
  <c r="N50" i="2"/>
  <c r="M17" i="2"/>
  <c r="O50" i="2"/>
  <c r="G50" i="2"/>
  <c r="J17" i="2"/>
  <c r="T50" i="2"/>
  <c r="L50" i="2"/>
  <c r="K17" i="2"/>
  <c r="U50" i="2"/>
  <c r="M50" i="2"/>
  <c r="D30" i="13"/>
  <c r="E18" i="13"/>
  <c r="E19" i="13"/>
  <c r="N9" i="3"/>
  <c r="AX26" i="3"/>
  <c r="J26" i="3"/>
  <c r="H36" i="4"/>
  <c r="K18" i="6"/>
  <c r="V18" i="6"/>
  <c r="AF18" i="6"/>
  <c r="X18" i="6"/>
  <c r="K20" i="6"/>
  <c r="V20" i="6"/>
  <c r="X20" i="6"/>
  <c r="AF20" i="6"/>
  <c r="I20" i="6"/>
  <c r="U20" i="6"/>
  <c r="M20" i="6"/>
  <c r="W20" i="6"/>
  <c r="M18" i="6"/>
  <c r="W18" i="6"/>
  <c r="Y20" i="6"/>
  <c r="AA99" i="6"/>
  <c r="K100" i="6"/>
  <c r="V100" i="6"/>
  <c r="L20" i="6"/>
  <c r="AF100" i="6"/>
  <c r="M100" i="6"/>
  <c r="W100" i="6"/>
  <c r="X100" i="6"/>
  <c r="AM103" i="3"/>
  <c r="AJ167" i="3"/>
  <c r="M167" i="3"/>
  <c r="BC167" i="3"/>
  <c r="AI43" i="3"/>
  <c r="L43" i="3"/>
  <c r="J52" i="4"/>
  <c r="E131" i="8"/>
  <c r="Z110" i="6"/>
  <c r="K23" i="11"/>
  <c r="L23" i="11"/>
  <c r="M23" i="11"/>
  <c r="I23" i="11"/>
  <c r="AL103" i="3"/>
  <c r="AF91" i="6"/>
  <c r="M91" i="6"/>
  <c r="W91" i="6"/>
  <c r="K91" i="6"/>
  <c r="V91" i="6"/>
  <c r="I91" i="6"/>
  <c r="AD91" i="6"/>
  <c r="X91" i="6"/>
  <c r="N91" i="6"/>
  <c r="N90" i="6"/>
  <c r="Z90" i="6"/>
  <c r="Y91" i="6"/>
  <c r="Z91" i="6"/>
  <c r="U91" i="6"/>
  <c r="D47" i="14"/>
  <c r="E47" i="14"/>
  <c r="F35" i="8"/>
  <c r="F32" i="8"/>
  <c r="F132" i="8"/>
  <c r="Y104" i="6"/>
  <c r="G20" i="4"/>
  <c r="AQ93" i="3"/>
  <c r="Z22" i="6"/>
  <c r="Z24" i="6"/>
  <c r="J94" i="6"/>
  <c r="AE94" i="6"/>
  <c r="I24" i="6"/>
  <c r="AD24" i="6"/>
  <c r="K24" i="6"/>
  <c r="V24" i="6"/>
  <c r="AF24" i="6"/>
  <c r="M24" i="6"/>
  <c r="W24" i="6"/>
  <c r="X24" i="6"/>
  <c r="L91" i="6"/>
  <c r="Z94" i="6"/>
  <c r="M22" i="6"/>
  <c r="W22" i="6"/>
  <c r="K22" i="6"/>
  <c r="V22" i="6"/>
  <c r="AF22" i="6"/>
  <c r="I22" i="6"/>
  <c r="AD22" i="6"/>
  <c r="X22" i="6"/>
  <c r="U100" i="6"/>
  <c r="J91" i="6"/>
  <c r="AE91" i="6"/>
  <c r="L89" i="6"/>
  <c r="Y18" i="6"/>
  <c r="J18" i="6"/>
  <c r="AE18" i="6"/>
  <c r="F133" i="8"/>
  <c r="U24" i="6"/>
  <c r="U22" i="6"/>
  <c r="L175" i="4"/>
  <c r="K175" i="4"/>
  <c r="AR51" i="3"/>
  <c r="AR53" i="3"/>
  <c r="AR61" i="3"/>
  <c r="B144" i="14"/>
  <c r="D49" i="9"/>
  <c r="AQ168" i="3"/>
  <c r="L20" i="11"/>
  <c r="M20" i="11"/>
  <c r="D48" i="8"/>
  <c r="D47" i="8"/>
  <c r="O19" i="11"/>
  <c r="J100" i="6"/>
  <c r="AE100" i="6"/>
  <c r="J101" i="6"/>
  <c r="AE101" i="6"/>
  <c r="P104" i="6"/>
  <c r="Z104" i="6"/>
  <c r="O18" i="11"/>
  <c r="G37" i="2"/>
  <c r="G36" i="2"/>
  <c r="U14" i="8"/>
  <c r="I110" i="14"/>
  <c r="K23" i="9"/>
  <c r="L41" i="8"/>
  <c r="L15" i="8"/>
  <c r="E22" i="8"/>
  <c r="D15" i="8"/>
  <c r="O14" i="8"/>
  <c r="B65" i="14"/>
  <c r="C65" i="14"/>
  <c r="W44" i="8"/>
  <c r="W45" i="8"/>
  <c r="C114" i="14"/>
  <c r="E27" i="9"/>
  <c r="F17" i="9"/>
  <c r="D22" i="9"/>
  <c r="H40" i="14"/>
  <c r="I40" i="14"/>
  <c r="S79" i="6"/>
  <c r="N40" i="8"/>
  <c r="T40" i="8"/>
  <c r="N14" i="8"/>
  <c r="T14" i="8"/>
  <c r="I61" i="2"/>
  <c r="J28" i="2"/>
  <c r="O163" i="3"/>
  <c r="L169" i="4"/>
  <c r="AI10" i="3"/>
  <c r="L10" i="3"/>
  <c r="J21" i="4"/>
  <c r="C91" i="4"/>
  <c r="C29" i="13"/>
  <c r="BC67" i="3"/>
  <c r="J162" i="4"/>
  <c r="M156" i="3"/>
  <c r="BC156" i="3"/>
  <c r="C30" i="13"/>
  <c r="BC133" i="3"/>
  <c r="J124" i="3"/>
  <c r="R26" i="3"/>
  <c r="S26" i="3"/>
  <c r="C22" i="4"/>
  <c r="K97" i="4"/>
  <c r="W31" i="8"/>
  <c r="W35" i="8"/>
  <c r="V14" i="8"/>
  <c r="M14" i="8"/>
  <c r="B24" i="6"/>
  <c r="B20" i="6"/>
  <c r="B18" i="6"/>
  <c r="V31" i="8"/>
  <c r="V33" i="8"/>
  <c r="B16" i="6"/>
  <c r="I16" i="6"/>
  <c r="AD16" i="6"/>
  <c r="AF16" i="6"/>
  <c r="X16" i="6"/>
  <c r="B22" i="6"/>
  <c r="M16" i="6"/>
  <c r="W16" i="6"/>
  <c r="A152" i="3"/>
  <c r="B158" i="4"/>
  <c r="C158" i="4"/>
  <c r="A144" i="3"/>
  <c r="B150" i="4"/>
  <c r="C150" i="4"/>
  <c r="K91" i="4"/>
  <c r="K94" i="4"/>
  <c r="A32" i="3"/>
  <c r="B42" i="4"/>
  <c r="O142" i="3"/>
  <c r="L148" i="4"/>
  <c r="U10" i="3"/>
  <c r="P96" i="3"/>
  <c r="Q96" i="3"/>
  <c r="K21" i="4"/>
  <c r="C21" i="4"/>
  <c r="C43" i="4"/>
  <c r="K96" i="4"/>
  <c r="A105" i="3"/>
  <c r="B113" i="4"/>
  <c r="C113" i="4"/>
  <c r="T144" i="3"/>
  <c r="U144" i="3"/>
  <c r="K150" i="4"/>
  <c r="A141" i="3"/>
  <c r="B147" i="4"/>
  <c r="A159" i="3"/>
  <c r="B165" i="4"/>
  <c r="C165" i="4"/>
  <c r="O86" i="3"/>
  <c r="L94" i="4"/>
  <c r="K44" i="4"/>
  <c r="P35" i="3"/>
  <c r="K45" i="4"/>
  <c r="K85" i="4"/>
  <c r="K95" i="4"/>
  <c r="Q98" i="3"/>
  <c r="F33" i="8"/>
  <c r="X31" i="8"/>
  <c r="X35" i="8"/>
  <c r="X14" i="8"/>
  <c r="P14" i="8"/>
  <c r="R40" i="8"/>
  <c r="D46" i="8"/>
  <c r="A77" i="3"/>
  <c r="B85" i="4"/>
  <c r="AL77" i="3"/>
  <c r="AP77" i="3"/>
  <c r="AX77" i="3"/>
  <c r="M77" i="3"/>
  <c r="AA77" i="3"/>
  <c r="AK77" i="3"/>
  <c r="AO77" i="3"/>
  <c r="AW77" i="3"/>
  <c r="L126" i="3"/>
  <c r="J133" i="4"/>
  <c r="L125" i="3"/>
  <c r="J132" i="4"/>
  <c r="AD127" i="3"/>
  <c r="E127" i="3"/>
  <c r="L127" i="3"/>
  <c r="J134" i="4"/>
  <c r="U127" i="3"/>
  <c r="M125" i="3"/>
  <c r="BC125" i="3"/>
  <c r="AR125" i="3"/>
  <c r="E125" i="3"/>
  <c r="AQ125" i="3"/>
  <c r="M126" i="3"/>
  <c r="BC126" i="3"/>
  <c r="AD126" i="3"/>
  <c r="AR126" i="3"/>
  <c r="E126" i="3"/>
  <c r="C133" i="4"/>
  <c r="AQ126" i="3"/>
  <c r="U126" i="3"/>
  <c r="AJ10" i="3"/>
  <c r="M10" i="3"/>
  <c r="BC10" i="3"/>
  <c r="AR10" i="3"/>
  <c r="P10" i="3"/>
  <c r="AQ10" i="3"/>
  <c r="R10" i="3"/>
  <c r="S10" i="3"/>
  <c r="P11" i="3"/>
  <c r="AQ11" i="3"/>
  <c r="Q35" i="3"/>
  <c r="U35" i="3"/>
  <c r="T35" i="3"/>
  <c r="L35" i="3"/>
  <c r="J45" i="4"/>
  <c r="N45" i="4"/>
  <c r="O35" i="3"/>
  <c r="L45" i="4"/>
  <c r="S35" i="3"/>
  <c r="AR35" i="3"/>
  <c r="AQ35" i="3"/>
  <c r="AD35" i="3"/>
  <c r="R46" i="3"/>
  <c r="Q84" i="3"/>
  <c r="AQ75" i="3"/>
  <c r="R113" i="3"/>
  <c r="Q64" i="3"/>
  <c r="AQ95" i="3"/>
  <c r="O26" i="3"/>
  <c r="L36" i="4"/>
  <c r="P83" i="3"/>
  <c r="Q83" i="3"/>
  <c r="AX74" i="3"/>
  <c r="G82" i="4"/>
  <c r="O83" i="3"/>
  <c r="L91" i="4"/>
  <c r="O146" i="3"/>
  <c r="L152" i="4"/>
  <c r="O144" i="3"/>
  <c r="L150" i="4"/>
  <c r="I119" i="4"/>
  <c r="O157" i="3"/>
  <c r="O145" i="3"/>
  <c r="L151" i="4"/>
  <c r="AK34" i="3"/>
  <c r="R34" i="3"/>
  <c r="P34" i="3"/>
  <c r="AQ34" i="3"/>
  <c r="R144" i="3"/>
  <c r="S144" i="3"/>
  <c r="AI144" i="3"/>
  <c r="L144" i="3"/>
  <c r="J150" i="4"/>
  <c r="P144" i="3"/>
  <c r="AQ144" i="3"/>
  <c r="BA105" i="3"/>
  <c r="Q63" i="3"/>
  <c r="R62" i="3"/>
  <c r="S62" i="3"/>
  <c r="X161" i="3"/>
  <c r="X160" i="3"/>
  <c r="AI83" i="3"/>
  <c r="L83" i="3"/>
  <c r="J91" i="4"/>
  <c r="AD69" i="3"/>
  <c r="A157" i="3"/>
  <c r="B163" i="4"/>
  <c r="T62" i="3"/>
  <c r="U62" i="3"/>
  <c r="AS83" i="3"/>
  <c r="Q67" i="3"/>
  <c r="AL67" i="3"/>
  <c r="Y76" i="3"/>
  <c r="AR69" i="3"/>
  <c r="T67" i="3"/>
  <c r="U67" i="3"/>
  <c r="R67" i="3"/>
  <c r="S67" i="3"/>
  <c r="O67" i="3"/>
  <c r="AS69" i="3"/>
  <c r="L69" i="3"/>
  <c r="J77" i="4"/>
  <c r="N77" i="4"/>
  <c r="O69" i="3"/>
  <c r="L77" i="4"/>
  <c r="S69" i="3"/>
  <c r="AQ69" i="3"/>
  <c r="Q69" i="3"/>
  <c r="AC68" i="3"/>
  <c r="AD68" i="3"/>
  <c r="AR66" i="3"/>
  <c r="AQ66" i="3"/>
  <c r="T66" i="3"/>
  <c r="U66" i="3"/>
  <c r="AD66" i="3"/>
  <c r="P66" i="3"/>
  <c r="Q66" i="3"/>
  <c r="O66" i="3"/>
  <c r="L75" i="4"/>
  <c r="R66" i="3"/>
  <c r="S66" i="3"/>
  <c r="J79" i="3"/>
  <c r="H87" i="4"/>
  <c r="AW79" i="3"/>
  <c r="Y117" i="3"/>
  <c r="U123" i="3"/>
  <c r="BB79" i="3"/>
  <c r="P64" i="3"/>
  <c r="O123" i="3"/>
  <c r="L130" i="4"/>
  <c r="AY74" i="3"/>
  <c r="T29" i="3"/>
  <c r="U29" i="3"/>
  <c r="AU74" i="3"/>
  <c r="AC74" i="3"/>
  <c r="AD74" i="3"/>
  <c r="P123" i="3"/>
  <c r="AQ123" i="3"/>
  <c r="BB118" i="3"/>
  <c r="O104" i="3"/>
  <c r="L112" i="4"/>
  <c r="Q73" i="3"/>
  <c r="W79" i="3"/>
  <c r="BA79" i="3"/>
  <c r="V79" i="3"/>
  <c r="T167" i="3"/>
  <c r="U167" i="3"/>
  <c r="X74" i="3"/>
  <c r="I125" i="4"/>
  <c r="D82" i="4"/>
  <c r="AA79" i="3"/>
  <c r="T83" i="3"/>
  <c r="U83" i="3"/>
  <c r="Y105" i="3"/>
  <c r="T105" i="3"/>
  <c r="U105" i="3"/>
  <c r="K73" i="4"/>
  <c r="AI55" i="3"/>
  <c r="L55" i="3"/>
  <c r="J65" i="4"/>
  <c r="AR24" i="3"/>
  <c r="O117" i="3"/>
  <c r="AM65" i="3"/>
  <c r="AK65" i="3"/>
  <c r="AK68" i="3"/>
  <c r="O119" i="3"/>
  <c r="L126" i="4"/>
  <c r="O120" i="3"/>
  <c r="L127" i="4"/>
  <c r="S120" i="3"/>
  <c r="P120" i="3"/>
  <c r="Q120" i="3"/>
  <c r="AJ117" i="3"/>
  <c r="M117" i="3"/>
  <c r="BC117" i="3"/>
  <c r="Q113" i="3"/>
  <c r="K92" i="4"/>
  <c r="T41" i="3"/>
  <c r="U41" i="3"/>
  <c r="V74" i="3"/>
  <c r="A31" i="3"/>
  <c r="B41" i="4"/>
  <c r="T44" i="3"/>
  <c r="G116" i="4"/>
  <c r="AJ111" i="3"/>
  <c r="M111" i="3"/>
  <c r="BC111" i="3"/>
  <c r="T56" i="3"/>
  <c r="Y63" i="3"/>
  <c r="BA111" i="3"/>
  <c r="O98" i="3"/>
  <c r="L106" i="4"/>
  <c r="AC108" i="3"/>
  <c r="AD108" i="3"/>
  <c r="A136" i="3"/>
  <c r="B143" i="4"/>
  <c r="O43" i="3"/>
  <c r="L52" i="4"/>
  <c r="I89" i="4"/>
  <c r="AK62" i="3"/>
  <c r="Y45" i="3"/>
  <c r="W74" i="3"/>
  <c r="AJ50" i="3"/>
  <c r="M50" i="3"/>
  <c r="BC50" i="3"/>
  <c r="A158" i="3"/>
  <c r="B164" i="4"/>
  <c r="AK89" i="3"/>
  <c r="T73" i="3"/>
  <c r="U73" i="3"/>
  <c r="AA106" i="3"/>
  <c r="X108" i="3"/>
  <c r="K71" i="4"/>
  <c r="O48" i="3"/>
  <c r="L58" i="4"/>
  <c r="P42" i="3"/>
  <c r="Q42" i="3"/>
  <c r="O64" i="3"/>
  <c r="L73" i="4"/>
  <c r="E75" i="3"/>
  <c r="C83" i="4"/>
  <c r="K77" i="4"/>
  <c r="T64" i="3"/>
  <c r="R52" i="3"/>
  <c r="S52" i="3"/>
  <c r="S64" i="3"/>
  <c r="Z106" i="3"/>
  <c r="T146" i="3"/>
  <c r="U146" i="3"/>
  <c r="AD64" i="3"/>
  <c r="R56" i="3"/>
  <c r="A110" i="3"/>
  <c r="B118" i="4"/>
  <c r="E68" i="3"/>
  <c r="C76" i="4"/>
  <c r="O25" i="3"/>
  <c r="L35" i="4"/>
  <c r="P52" i="3"/>
  <c r="Q52" i="3"/>
  <c r="P49" i="3"/>
  <c r="N160" i="3"/>
  <c r="K166" i="4"/>
  <c r="BB68" i="3"/>
  <c r="O58" i="3"/>
  <c r="L68" i="4"/>
  <c r="AJ163" i="3"/>
  <c r="M163" i="3"/>
  <c r="BC163" i="3"/>
  <c r="P90" i="3"/>
  <c r="Q90" i="3"/>
  <c r="U87" i="3"/>
  <c r="R146" i="3"/>
  <c r="S146" i="3"/>
  <c r="R78" i="3"/>
  <c r="S78" i="3"/>
  <c r="U64" i="3"/>
  <c r="K66" i="4"/>
  <c r="T52" i="3"/>
  <c r="U52" i="3"/>
  <c r="K47" i="4"/>
  <c r="T49" i="3"/>
  <c r="U49" i="3"/>
  <c r="K130" i="4"/>
  <c r="N68" i="3"/>
  <c r="T68" i="3"/>
  <c r="U68" i="3"/>
  <c r="BA68" i="3"/>
  <c r="A138" i="3"/>
  <c r="B145" i="4"/>
  <c r="A107" i="3"/>
  <c r="B114" i="4"/>
  <c r="AI94" i="3"/>
  <c r="L94" i="3"/>
  <c r="J102" i="4"/>
  <c r="A91" i="3"/>
  <c r="B99" i="4"/>
  <c r="O78" i="3"/>
  <c r="L86" i="4"/>
  <c r="K31" i="4"/>
  <c r="AR68" i="3"/>
  <c r="K59" i="4"/>
  <c r="A61" i="3"/>
  <c r="B71" i="4"/>
  <c r="C77" i="4"/>
  <c r="O90" i="3"/>
  <c r="L98" i="4"/>
  <c r="P115" i="3"/>
  <c r="P88" i="3"/>
  <c r="Q88" i="3"/>
  <c r="P56" i="3"/>
  <c r="AQ73" i="3"/>
  <c r="AJ90" i="3"/>
  <c r="M90" i="3"/>
  <c r="BC90" i="3"/>
  <c r="AJ74" i="3"/>
  <c r="M74" i="3"/>
  <c r="BC74" i="3"/>
  <c r="P147" i="3"/>
  <c r="R123" i="3"/>
  <c r="S123" i="3"/>
  <c r="O167" i="3"/>
  <c r="L173" i="4"/>
  <c r="P146" i="3"/>
  <c r="Q146" i="3"/>
  <c r="R109" i="3"/>
  <c r="S109" i="3"/>
  <c r="R69" i="3"/>
  <c r="O52" i="3"/>
  <c r="L62" i="4"/>
  <c r="T48" i="3"/>
  <c r="U31" i="3"/>
  <c r="S98" i="3"/>
  <c r="A168" i="3"/>
  <c r="B174" i="4"/>
  <c r="K98" i="4"/>
  <c r="K106" i="4"/>
  <c r="P109" i="3"/>
  <c r="Q109" i="3"/>
  <c r="T90" i="3"/>
  <c r="U90" i="3"/>
  <c r="R115" i="3"/>
  <c r="S115" i="3"/>
  <c r="O20" i="3"/>
  <c r="L31" i="4"/>
  <c r="AI85" i="3"/>
  <c r="A123" i="3"/>
  <c r="B130" i="4"/>
  <c r="U168" i="3"/>
  <c r="AS81" i="3"/>
  <c r="AQ62" i="3"/>
  <c r="R57" i="3"/>
  <c r="S57" i="3"/>
  <c r="AZ56" i="3"/>
  <c r="A17" i="3"/>
  <c r="B28" i="4"/>
  <c r="P51" i="3"/>
  <c r="Q51" i="3"/>
  <c r="AJ68" i="3"/>
  <c r="M68" i="3"/>
  <c r="A120" i="3"/>
  <c r="B127" i="4"/>
  <c r="O111" i="3"/>
  <c r="L119" i="4"/>
  <c r="B95" i="4"/>
  <c r="O73" i="3"/>
  <c r="L81" i="4"/>
  <c r="AR81" i="3"/>
  <c r="L29" i="3"/>
  <c r="J39" i="4"/>
  <c r="AR23" i="3"/>
  <c r="AR63" i="3"/>
  <c r="R91" i="3"/>
  <c r="S91" i="3"/>
  <c r="U88" i="3"/>
  <c r="O31" i="3"/>
  <c r="L41" i="4"/>
  <c r="R85" i="3"/>
  <c r="P19" i="3"/>
  <c r="Q19" i="3"/>
  <c r="G169" i="4"/>
  <c r="K81" i="4"/>
  <c r="E163" i="3"/>
  <c r="C169" i="4"/>
  <c r="K174" i="4"/>
  <c r="P54" i="3"/>
  <c r="AQ54" i="3"/>
  <c r="R31" i="3"/>
  <c r="I162" i="3"/>
  <c r="R148" i="3"/>
  <c r="S148" i="3"/>
  <c r="A142" i="3"/>
  <c r="B148" i="4"/>
  <c r="O60" i="3"/>
  <c r="L70" i="4"/>
  <c r="K57" i="4"/>
  <c r="AK38" i="3"/>
  <c r="AK39" i="3"/>
  <c r="AK53" i="3"/>
  <c r="AS82" i="3"/>
  <c r="AS122" i="3"/>
  <c r="P168" i="3"/>
  <c r="P40" i="3"/>
  <c r="AQ40" i="3"/>
  <c r="AS85" i="3"/>
  <c r="Q23" i="3"/>
  <c r="K75" i="4"/>
  <c r="AJ145" i="3"/>
  <c r="M145" i="3"/>
  <c r="BC145" i="3"/>
  <c r="T40" i="3"/>
  <c r="U40" i="3"/>
  <c r="O23" i="3"/>
  <c r="L34" i="4"/>
  <c r="Q60" i="3"/>
  <c r="Y57" i="3"/>
  <c r="T111" i="3"/>
  <c r="U111" i="3"/>
  <c r="K99" i="4"/>
  <c r="T84" i="3"/>
  <c r="R39" i="3"/>
  <c r="R23" i="3"/>
  <c r="S23" i="3"/>
  <c r="T43" i="3"/>
  <c r="U43" i="3"/>
  <c r="P29" i="3"/>
  <c r="Q29" i="3"/>
  <c r="AS38" i="3"/>
  <c r="A139" i="3"/>
  <c r="B146" i="4"/>
  <c r="A114" i="3"/>
  <c r="B122" i="4"/>
  <c r="K148" i="4"/>
  <c r="AI61" i="3"/>
  <c r="L61" i="3"/>
  <c r="J71" i="4"/>
  <c r="E124" i="3"/>
  <c r="C131" i="4"/>
  <c r="AR75" i="3"/>
  <c r="AS28" i="3"/>
  <c r="A153" i="3"/>
  <c r="B159" i="4"/>
  <c r="O63" i="3"/>
  <c r="L72" i="4"/>
  <c r="K65" i="4"/>
  <c r="Y18" i="3"/>
  <c r="T107" i="3"/>
  <c r="U107" i="3"/>
  <c r="P142" i="3"/>
  <c r="Q142" i="3"/>
  <c r="P46" i="3"/>
  <c r="AQ46" i="3"/>
  <c r="R111" i="3"/>
  <c r="S111" i="3"/>
  <c r="T23" i="3"/>
  <c r="U23" i="3"/>
  <c r="AC12" i="3"/>
  <c r="Q47" i="3"/>
  <c r="U84" i="3"/>
  <c r="P85" i="3"/>
  <c r="T85" i="3"/>
  <c r="R157" i="3"/>
  <c r="S157" i="3"/>
  <c r="R29" i="3"/>
  <c r="S29" i="3"/>
  <c r="Q111" i="3"/>
  <c r="K50" i="4"/>
  <c r="AB12" i="3"/>
  <c r="AJ82" i="3"/>
  <c r="M82" i="3"/>
  <c r="BC82" i="3"/>
  <c r="Q25" i="3"/>
  <c r="R84" i="3"/>
  <c r="O46" i="3"/>
  <c r="L56" i="4"/>
  <c r="T39" i="3"/>
  <c r="R30" i="3"/>
  <c r="S30" i="3"/>
  <c r="T25" i="3"/>
  <c r="U25" i="3"/>
  <c r="T51" i="3"/>
  <c r="U51" i="3"/>
  <c r="O164" i="3"/>
  <c r="L170" i="4"/>
  <c r="S84" i="3"/>
  <c r="U96" i="3"/>
  <c r="N79" i="3"/>
  <c r="G83" i="4"/>
  <c r="D49" i="4"/>
  <c r="K154" i="4"/>
  <c r="AC65" i="3"/>
  <c r="AD65" i="3"/>
  <c r="K34" i="4"/>
  <c r="A146" i="3"/>
  <c r="B152" i="4"/>
  <c r="AI148" i="3"/>
  <c r="L148" i="3"/>
  <c r="J154" i="4"/>
  <c r="A104" i="3"/>
  <c r="B112" i="4"/>
  <c r="A155" i="3"/>
  <c r="B161" i="4"/>
  <c r="O96" i="3"/>
  <c r="L104" i="4"/>
  <c r="K35" i="4"/>
  <c r="AK61" i="3"/>
  <c r="O84" i="3"/>
  <c r="L92" i="4"/>
  <c r="S63" i="3"/>
  <c r="T142" i="3"/>
  <c r="U142" i="3"/>
  <c r="R73" i="3"/>
  <c r="S73" i="3"/>
  <c r="P30" i="3"/>
  <c r="Q30" i="3"/>
  <c r="T20" i="3"/>
  <c r="U20" i="3"/>
  <c r="Q141" i="3"/>
  <c r="Q43" i="3"/>
  <c r="O87" i="3"/>
  <c r="L95" i="4"/>
  <c r="O85" i="3"/>
  <c r="L93" i="4"/>
  <c r="AD85" i="3"/>
  <c r="AJ85" i="3"/>
  <c r="AS56" i="3"/>
  <c r="P31" i="3"/>
  <c r="O33" i="3"/>
  <c r="L43" i="4"/>
  <c r="K41" i="4"/>
  <c r="O88" i="3"/>
  <c r="L96" i="4"/>
  <c r="R88" i="3"/>
  <c r="S88" i="3"/>
  <c r="R87" i="3"/>
  <c r="S87" i="3"/>
  <c r="P87" i="3"/>
  <c r="Q87" i="3"/>
  <c r="O62" i="3"/>
  <c r="AI46" i="3"/>
  <c r="L46" i="3"/>
  <c r="J56" i="4"/>
  <c r="AJ54" i="3"/>
  <c r="M54" i="3"/>
  <c r="BC54" i="3"/>
  <c r="AI54" i="3"/>
  <c r="L54" i="3"/>
  <c r="J64" i="4"/>
  <c r="AJ146" i="3"/>
  <c r="M146" i="3"/>
  <c r="BC146" i="3"/>
  <c r="AI146" i="3"/>
  <c r="L146" i="3"/>
  <c r="J152" i="4"/>
  <c r="C171" i="4"/>
  <c r="A165" i="3"/>
  <c r="B171" i="4"/>
  <c r="I82" i="4"/>
  <c r="AQ74" i="3"/>
  <c r="G84" i="4"/>
  <c r="AQ166" i="3"/>
  <c r="BA74" i="3"/>
  <c r="AR108" i="3"/>
  <c r="BA112" i="3"/>
  <c r="I120" i="4"/>
  <c r="C141" i="4"/>
  <c r="A134" i="3"/>
  <c r="B141" i="4"/>
  <c r="A135" i="3"/>
  <c r="B142" i="4"/>
  <c r="C121" i="4"/>
  <c r="A113" i="3"/>
  <c r="B121" i="4"/>
  <c r="AX79" i="3"/>
  <c r="AY79" i="3"/>
  <c r="AS79" i="3"/>
  <c r="AN79" i="3"/>
  <c r="Z79" i="3"/>
  <c r="AK79" i="3"/>
  <c r="AK80" i="3"/>
  <c r="AP79" i="3"/>
  <c r="AV79" i="3"/>
  <c r="AC79" i="3"/>
  <c r="AD79" i="3"/>
  <c r="AB79" i="3"/>
  <c r="AU79" i="3"/>
  <c r="AO79" i="3"/>
  <c r="X79" i="3"/>
  <c r="P8" i="3"/>
  <c r="AQ8" i="3"/>
  <c r="AD8" i="3"/>
  <c r="R161" i="3"/>
  <c r="G167" i="4"/>
  <c r="Y161" i="3"/>
  <c r="Y160" i="3"/>
  <c r="N162" i="3"/>
  <c r="R163" i="3"/>
  <c r="S163" i="3"/>
  <c r="T163" i="3"/>
  <c r="U163" i="3"/>
  <c r="AR163" i="3"/>
  <c r="Z162" i="3"/>
  <c r="K29" i="4"/>
  <c r="T47" i="3"/>
  <c r="U47" i="3"/>
  <c r="R47" i="3"/>
  <c r="S47" i="3"/>
  <c r="O47" i="3"/>
  <c r="L57" i="4"/>
  <c r="K102" i="4"/>
  <c r="T94" i="3"/>
  <c r="U94" i="3"/>
  <c r="P94" i="3"/>
  <c r="K111" i="4"/>
  <c r="R103" i="3"/>
  <c r="S103" i="3"/>
  <c r="P103" i="3"/>
  <c r="AQ103" i="3"/>
  <c r="C55" i="4"/>
  <c r="A45" i="3"/>
  <c r="B55" i="4"/>
  <c r="C27" i="4"/>
  <c r="B27" i="4"/>
  <c r="AI73" i="3"/>
  <c r="L73" i="3"/>
  <c r="J81" i="4"/>
  <c r="AJ73" i="3"/>
  <c r="M73" i="3"/>
  <c r="BC73" i="3"/>
  <c r="C98" i="4"/>
  <c r="C54" i="4"/>
  <c r="T54" i="3"/>
  <c r="U54" i="3"/>
  <c r="O54" i="3"/>
  <c r="L64" i="4"/>
  <c r="K64" i="4"/>
  <c r="R59" i="3"/>
  <c r="T113" i="3"/>
  <c r="U113" i="3"/>
  <c r="O113" i="3"/>
  <c r="L121" i="4"/>
  <c r="K121" i="4"/>
  <c r="K126" i="4"/>
  <c r="R119" i="3"/>
  <c r="S119" i="3"/>
  <c r="T119" i="3"/>
  <c r="U119" i="3"/>
  <c r="K32" i="4"/>
  <c r="O22" i="3"/>
  <c r="L33" i="4"/>
  <c r="K33" i="4"/>
  <c r="AJ27" i="3"/>
  <c r="M27" i="3"/>
  <c r="BC27" i="3"/>
  <c r="AI27" i="3"/>
  <c r="L27" i="3"/>
  <c r="J37" i="4"/>
  <c r="C39" i="4"/>
  <c r="A29" i="3"/>
  <c r="B39" i="4"/>
  <c r="AJ47" i="3"/>
  <c r="M47" i="3"/>
  <c r="BC47" i="3"/>
  <c r="AC81" i="3"/>
  <c r="AD81" i="3"/>
  <c r="E81" i="3"/>
  <c r="C89" i="4"/>
  <c r="G89" i="4"/>
  <c r="J81" i="3"/>
  <c r="H89" i="4"/>
  <c r="AI92" i="3"/>
  <c r="L92" i="3"/>
  <c r="J100" i="4"/>
  <c r="A131" i="3"/>
  <c r="B138" i="4"/>
  <c r="C162" i="4"/>
  <c r="A156" i="3"/>
  <c r="B162" i="4"/>
  <c r="T97" i="3"/>
  <c r="A122" i="3"/>
  <c r="B129" i="4"/>
  <c r="O27" i="3"/>
  <c r="L37" i="4"/>
  <c r="T27" i="3"/>
  <c r="U27" i="3"/>
  <c r="K38" i="4"/>
  <c r="R28" i="3"/>
  <c r="S28" i="3"/>
  <c r="P93" i="3"/>
  <c r="AJ30" i="3"/>
  <c r="M30" i="3"/>
  <c r="BC30" i="3"/>
  <c r="AI30" i="3"/>
  <c r="L30" i="3"/>
  <c r="J40" i="4"/>
  <c r="AJ53" i="3"/>
  <c r="M53" i="3"/>
  <c r="BC53" i="3"/>
  <c r="AI53" i="3"/>
  <c r="L53" i="3"/>
  <c r="J63" i="4"/>
  <c r="I74" i="4"/>
  <c r="BB65" i="3"/>
  <c r="I90" i="4"/>
  <c r="BA82" i="3"/>
  <c r="BB82" i="3"/>
  <c r="A132" i="3"/>
  <c r="B139" i="4"/>
  <c r="C139" i="4"/>
  <c r="C140" i="4"/>
  <c r="Q165" i="3"/>
  <c r="U165" i="3"/>
  <c r="O165" i="3"/>
  <c r="L171" i="4"/>
  <c r="P165" i="3"/>
  <c r="R165" i="3"/>
  <c r="T165" i="3"/>
  <c r="K171" i="4"/>
  <c r="AR57" i="3"/>
  <c r="T42" i="3"/>
  <c r="U42" i="3"/>
  <c r="R42" i="3"/>
  <c r="S42" i="3"/>
  <c r="O42" i="3"/>
  <c r="L53" i="4"/>
  <c r="O14" i="3"/>
  <c r="L25" i="4"/>
  <c r="T14" i="3"/>
  <c r="U14" i="3"/>
  <c r="K25" i="4"/>
  <c r="G87" i="4"/>
  <c r="H84" i="4"/>
  <c r="AM79" i="3"/>
  <c r="P113" i="3"/>
  <c r="P163" i="3"/>
  <c r="BB74" i="3"/>
  <c r="AI115" i="3"/>
  <c r="L115" i="3"/>
  <c r="J124" i="4"/>
  <c r="A147" i="3"/>
  <c r="B153" i="4"/>
  <c r="O94" i="3"/>
  <c r="L102" i="4"/>
  <c r="U58" i="3"/>
  <c r="E76" i="3"/>
  <c r="Y79" i="3"/>
  <c r="AJ161" i="3"/>
  <c r="M161" i="3"/>
  <c r="BC161" i="3"/>
  <c r="R54" i="3"/>
  <c r="S54" i="3"/>
  <c r="R97" i="3"/>
  <c r="AR76" i="3"/>
  <c r="A164" i="3"/>
  <c r="B170" i="4"/>
  <c r="AJ89" i="3"/>
  <c r="M89" i="3"/>
  <c r="BC89" i="3"/>
  <c r="AI75" i="3"/>
  <c r="L75" i="3"/>
  <c r="J83" i="4"/>
  <c r="AQ23" i="3"/>
  <c r="Q150" i="3"/>
  <c r="X115" i="3"/>
  <c r="AI37" i="3"/>
  <c r="L37" i="3"/>
  <c r="J47" i="4"/>
  <c r="P167" i="3"/>
  <c r="Q167" i="3"/>
  <c r="R167" i="3"/>
  <c r="S167" i="3"/>
  <c r="P78" i="3"/>
  <c r="Q78" i="3"/>
  <c r="T69" i="3"/>
  <c r="U69" i="3"/>
  <c r="L40" i="4"/>
  <c r="AD31" i="3"/>
  <c r="C100" i="4"/>
  <c r="T17" i="3"/>
  <c r="U17" i="3"/>
  <c r="AO74" i="3"/>
  <c r="S31" i="3"/>
  <c r="AP74" i="3"/>
  <c r="AM74" i="3"/>
  <c r="P124" i="3"/>
  <c r="K155" i="4"/>
  <c r="N74" i="3"/>
  <c r="R74" i="3"/>
  <c r="S74" i="3"/>
  <c r="A166" i="3"/>
  <c r="B172" i="4"/>
  <c r="AI38" i="3"/>
  <c r="L38" i="3"/>
  <c r="J48" i="4"/>
  <c r="AW74" i="3"/>
  <c r="K52" i="4"/>
  <c r="Z121" i="3"/>
  <c r="AR121" i="3"/>
  <c r="AM39" i="3"/>
  <c r="AI40" i="3"/>
  <c r="L40" i="3"/>
  <c r="J50" i="4"/>
  <c r="AK46" i="3"/>
  <c r="Y74" i="3"/>
  <c r="AK87" i="3"/>
  <c r="AJ79" i="3"/>
  <c r="M79" i="3"/>
  <c r="BC79" i="3"/>
  <c r="AJ142" i="3"/>
  <c r="M142" i="3"/>
  <c r="BC142" i="3"/>
  <c r="R43" i="3"/>
  <c r="S43" i="3"/>
  <c r="AD29" i="3"/>
  <c r="R40" i="3"/>
  <c r="S40" i="3"/>
  <c r="W110" i="3"/>
  <c r="X110" i="3"/>
  <c r="AS65" i="3"/>
  <c r="A96" i="3"/>
  <c r="B104" i="4"/>
  <c r="K86" i="4"/>
  <c r="P17" i="3"/>
  <c r="Z74" i="3"/>
  <c r="AL74" i="3"/>
  <c r="AB74" i="3"/>
  <c r="T31" i="3"/>
  <c r="AZ74" i="3"/>
  <c r="AS55" i="3"/>
  <c r="O17" i="3"/>
  <c r="L28" i="4"/>
  <c r="AI91" i="3"/>
  <c r="L85" i="3"/>
  <c r="J93" i="4"/>
  <c r="AI41" i="3"/>
  <c r="L41" i="3"/>
  <c r="J51" i="4"/>
  <c r="AV74" i="3"/>
  <c r="AI74" i="3"/>
  <c r="L74" i="3"/>
  <c r="J82" i="4"/>
  <c r="J74" i="3"/>
  <c r="H82" i="4"/>
  <c r="E74" i="3"/>
  <c r="A74" i="3"/>
  <c r="B82" i="4"/>
  <c r="AI103" i="3"/>
  <c r="AJ122" i="3"/>
  <c r="M122" i="3"/>
  <c r="BC122" i="3"/>
  <c r="AJ157" i="3"/>
  <c r="M157" i="3"/>
  <c r="BC157" i="3"/>
  <c r="R25" i="3"/>
  <c r="S25" i="3"/>
  <c r="Y150" i="3"/>
  <c r="X150" i="3"/>
  <c r="R36" i="3"/>
  <c r="S36" i="3"/>
  <c r="O36" i="3"/>
  <c r="L46" i="4"/>
  <c r="K46" i="4"/>
  <c r="T36" i="3"/>
  <c r="U36" i="3"/>
  <c r="T89" i="3"/>
  <c r="U89" i="3"/>
  <c r="P89" i="3"/>
  <c r="Q89" i="3"/>
  <c r="O9" i="3"/>
  <c r="L20" i="4"/>
  <c r="AI42" i="3"/>
  <c r="L42" i="3"/>
  <c r="J53" i="4"/>
  <c r="A55" i="3"/>
  <c r="B65" i="4"/>
  <c r="C65" i="4"/>
  <c r="H76" i="4"/>
  <c r="AB68" i="3"/>
  <c r="A84" i="3"/>
  <c r="B92" i="4"/>
  <c r="AJ87" i="3"/>
  <c r="M87" i="3"/>
  <c r="BC87" i="3"/>
  <c r="AI87" i="3"/>
  <c r="L87" i="3"/>
  <c r="J95" i="4"/>
  <c r="C108" i="4"/>
  <c r="A100" i="3"/>
  <c r="B108" i="4"/>
  <c r="Z109" i="3"/>
  <c r="AJ158" i="3"/>
  <c r="M158" i="3"/>
  <c r="BC158" i="3"/>
  <c r="AI158" i="3"/>
  <c r="L158" i="3"/>
  <c r="J164" i="4"/>
  <c r="E79" i="3"/>
  <c r="C87" i="4"/>
  <c r="X163" i="3"/>
  <c r="Y163" i="3"/>
  <c r="W162" i="3"/>
  <c r="X162" i="3"/>
  <c r="Y162" i="3"/>
  <c r="Y103" i="3"/>
  <c r="R27" i="3"/>
  <c r="S27" i="3"/>
  <c r="K37" i="4"/>
  <c r="T28" i="3"/>
  <c r="U28" i="3"/>
  <c r="P28" i="3"/>
  <c r="O28" i="3"/>
  <c r="L38" i="4"/>
  <c r="T80" i="3"/>
  <c r="U80" i="3"/>
  <c r="R80" i="3"/>
  <c r="S80" i="3"/>
  <c r="O80" i="3"/>
  <c r="L88" i="4"/>
  <c r="P80" i="3"/>
  <c r="Q80" i="3"/>
  <c r="O103" i="3"/>
  <c r="L111" i="4"/>
  <c r="T103" i="3"/>
  <c r="U103" i="3"/>
  <c r="T110" i="3"/>
  <c r="R110" i="3"/>
  <c r="P145" i="3"/>
  <c r="K151" i="4"/>
  <c r="T157" i="3"/>
  <c r="U157" i="3"/>
  <c r="L163" i="4"/>
  <c r="P157" i="3"/>
  <c r="Q157" i="3"/>
  <c r="AD57" i="3"/>
  <c r="R124" i="3"/>
  <c r="S124" i="3"/>
  <c r="P161" i="3"/>
  <c r="P160" i="3"/>
  <c r="Q161" i="3"/>
  <c r="Q160" i="3"/>
  <c r="AC82" i="3"/>
  <c r="AD82" i="3"/>
  <c r="AB65" i="3"/>
  <c r="AI95" i="3"/>
  <c r="L95" i="3"/>
  <c r="J103" i="4"/>
  <c r="AR82" i="3"/>
  <c r="A41" i="3"/>
  <c r="B51" i="4"/>
  <c r="G74" i="4"/>
  <c r="K51" i="4"/>
  <c r="AI157" i="3"/>
  <c r="L157" i="3"/>
  <c r="J163" i="4"/>
  <c r="T9" i="3"/>
  <c r="T8" i="3"/>
  <c r="U8" i="3"/>
  <c r="C34" i="4"/>
  <c r="A23" i="3"/>
  <c r="B34" i="4"/>
  <c r="C47" i="4"/>
  <c r="A37" i="3"/>
  <c r="B47" i="4"/>
  <c r="C78" i="4"/>
  <c r="J150" i="3"/>
  <c r="H156" i="4"/>
  <c r="P106" i="3"/>
  <c r="Q106" i="3"/>
  <c r="T106" i="3"/>
  <c r="U106" i="3"/>
  <c r="O106" i="3"/>
  <c r="L115" i="4"/>
  <c r="T147" i="3"/>
  <c r="K153" i="4"/>
  <c r="C117" i="4"/>
  <c r="A109" i="3"/>
  <c r="B117" i="4"/>
  <c r="V110" i="3"/>
  <c r="AR112" i="3"/>
  <c r="C160" i="4"/>
  <c r="A154" i="3"/>
  <c r="B160" i="4"/>
  <c r="AI44" i="3"/>
  <c r="P26" i="3"/>
  <c r="AD26" i="3"/>
  <c r="K36" i="4"/>
  <c r="R50" i="3"/>
  <c r="R53" i="3"/>
  <c r="S53" i="3"/>
  <c r="T53" i="3"/>
  <c r="U53" i="3"/>
  <c r="P53" i="3"/>
  <c r="Q53" i="3"/>
  <c r="O53" i="3"/>
  <c r="L63" i="4"/>
  <c r="R58" i="3"/>
  <c r="S58" i="3"/>
  <c r="K68" i="4"/>
  <c r="P58" i="3"/>
  <c r="Q58" i="3"/>
  <c r="T92" i="3"/>
  <c r="U92" i="3"/>
  <c r="O92" i="3"/>
  <c r="L100" i="4"/>
  <c r="P92" i="3"/>
  <c r="Q92" i="3"/>
  <c r="K100" i="4"/>
  <c r="T104" i="3"/>
  <c r="U104" i="3"/>
  <c r="P104" i="3"/>
  <c r="Q104" i="3"/>
  <c r="K112" i="4"/>
  <c r="K26" i="4"/>
  <c r="O15" i="3"/>
  <c r="L26" i="4"/>
  <c r="R21" i="3"/>
  <c r="S21" i="3"/>
  <c r="O21" i="3"/>
  <c r="L32" i="4"/>
  <c r="T45" i="3"/>
  <c r="AR150" i="3"/>
  <c r="AJ81" i="3"/>
  <c r="M81" i="3"/>
  <c r="BC81" i="3"/>
  <c r="AI68" i="3"/>
  <c r="H131" i="4"/>
  <c r="T161" i="3"/>
  <c r="T160" i="3"/>
  <c r="A26" i="3"/>
  <c r="B36" i="4"/>
  <c r="P45" i="3"/>
  <c r="O57" i="3"/>
  <c r="L67" i="4"/>
  <c r="P57" i="3"/>
  <c r="Q57" i="3"/>
  <c r="P91" i="3"/>
  <c r="AQ85" i="3"/>
  <c r="P164" i="3"/>
  <c r="Q164" i="3"/>
  <c r="U147" i="3"/>
  <c r="T124" i="3"/>
  <c r="U124" i="3"/>
  <c r="P86" i="3"/>
  <c r="K167" i="4"/>
  <c r="E65" i="3"/>
  <c r="A65" i="3"/>
  <c r="AJ17" i="3"/>
  <c r="M17" i="3"/>
  <c r="BC17" i="3"/>
  <c r="A121" i="3"/>
  <c r="B128" i="4"/>
  <c r="AI122" i="3"/>
  <c r="L122" i="3"/>
  <c r="J129" i="4"/>
  <c r="AI163" i="3"/>
  <c r="L163" i="3"/>
  <c r="J169" i="4"/>
  <c r="G131" i="4"/>
  <c r="AI161" i="3"/>
  <c r="L161" i="3"/>
  <c r="J167" i="4"/>
  <c r="AR124" i="3"/>
  <c r="K115" i="4"/>
  <c r="AI81" i="3"/>
  <c r="L81" i="3"/>
  <c r="J89" i="4"/>
  <c r="O91" i="3"/>
  <c r="L99" i="4"/>
  <c r="S147" i="3"/>
  <c r="AI57" i="3"/>
  <c r="L57" i="3"/>
  <c r="J67" i="4"/>
  <c r="R106" i="3"/>
  <c r="S106" i="3"/>
  <c r="U78" i="3"/>
  <c r="O29" i="3"/>
  <c r="L39" i="4"/>
  <c r="C70" i="4"/>
  <c r="C80" i="4"/>
  <c r="E82" i="3"/>
  <c r="A82" i="3"/>
  <c r="B90" i="4"/>
  <c r="G90" i="4"/>
  <c r="O41" i="3"/>
  <c r="L51" i="4"/>
  <c r="P41" i="3"/>
  <c r="Q41" i="3"/>
  <c r="T116" i="3"/>
  <c r="U116" i="3"/>
  <c r="R116" i="3"/>
  <c r="S116" i="3"/>
  <c r="P116" i="3"/>
  <c r="Q116" i="3"/>
  <c r="O116" i="3"/>
  <c r="L123" i="4"/>
  <c r="AJ36" i="3"/>
  <c r="M36" i="3"/>
  <c r="BC36" i="3"/>
  <c r="AI36" i="3"/>
  <c r="L36" i="3"/>
  <c r="J46" i="4"/>
  <c r="A58" i="3"/>
  <c r="B68" i="4"/>
  <c r="C68" i="4"/>
  <c r="C102" i="4"/>
  <c r="A94" i="3"/>
  <c r="B102" i="4"/>
  <c r="C107" i="4"/>
  <c r="A99" i="3"/>
  <c r="B107" i="4"/>
  <c r="Z116" i="3"/>
  <c r="Z114" i="3"/>
  <c r="AR114" i="3"/>
  <c r="Z120" i="3"/>
  <c r="E112" i="3"/>
  <c r="A112" i="3"/>
  <c r="B120" i="4"/>
  <c r="R51" i="3"/>
  <c r="S51" i="3"/>
  <c r="O51" i="3"/>
  <c r="L61" i="4"/>
  <c r="K61" i="4"/>
  <c r="R55" i="3"/>
  <c r="S55" i="3"/>
  <c r="U55" i="3"/>
  <c r="O55" i="3"/>
  <c r="L65" i="4"/>
  <c r="P55" i="3"/>
  <c r="AQ55" i="3"/>
  <c r="R60" i="3"/>
  <c r="S60" i="3"/>
  <c r="K70" i="4"/>
  <c r="T60" i="3"/>
  <c r="U60" i="3"/>
  <c r="T63" i="3"/>
  <c r="U63" i="3"/>
  <c r="K72" i="4"/>
  <c r="R107" i="3"/>
  <c r="S107" i="3"/>
  <c r="O107" i="3"/>
  <c r="L114" i="4"/>
  <c r="K114" i="4"/>
  <c r="K127" i="4"/>
  <c r="T120" i="3"/>
  <c r="U120" i="3"/>
  <c r="X19" i="3"/>
  <c r="X18" i="3"/>
  <c r="O45" i="3"/>
  <c r="L55" i="4"/>
  <c r="R45" i="3"/>
  <c r="S45" i="3"/>
  <c r="T57" i="3"/>
  <c r="U57" i="3"/>
  <c r="AJ65" i="3"/>
  <c r="M65" i="3"/>
  <c r="AI82" i="3"/>
  <c r="L82" i="3"/>
  <c r="J90" i="4"/>
  <c r="R89" i="3"/>
  <c r="S89" i="3"/>
  <c r="S41" i="3"/>
  <c r="O147" i="3"/>
  <c r="L153" i="4"/>
  <c r="T86" i="3"/>
  <c r="N82" i="3"/>
  <c r="N65" i="3"/>
  <c r="T65" i="3"/>
  <c r="U65" i="3"/>
  <c r="AI96" i="3"/>
  <c r="L96" i="3"/>
  <c r="J104" i="4"/>
  <c r="AI65" i="3"/>
  <c r="R147" i="3"/>
  <c r="Q27" i="3"/>
  <c r="AQ43" i="3"/>
  <c r="Q39" i="3"/>
  <c r="P14" i="3"/>
  <c r="AQ14" i="3"/>
  <c r="P20" i="3"/>
  <c r="AQ20" i="3"/>
  <c r="R33" i="3"/>
  <c r="S33" i="3"/>
  <c r="P33" i="3"/>
  <c r="Q33" i="3"/>
  <c r="T33" i="3"/>
  <c r="U33" i="3"/>
  <c r="T32" i="3"/>
  <c r="K48" i="4"/>
  <c r="P38" i="3"/>
  <c r="AQ38" i="3"/>
  <c r="L48" i="4"/>
  <c r="R38" i="3"/>
  <c r="S38" i="3"/>
  <c r="T38" i="3"/>
  <c r="U38" i="3"/>
  <c r="T30" i="3"/>
  <c r="U30" i="3"/>
  <c r="K40" i="4"/>
  <c r="AQ25" i="3"/>
  <c r="R24" i="3"/>
  <c r="S24" i="3"/>
  <c r="T24" i="3"/>
  <c r="U24" i="3"/>
  <c r="AQ60" i="3"/>
  <c r="R22" i="3"/>
  <c r="S22" i="3"/>
  <c r="P22" i="3"/>
  <c r="Q22" i="3"/>
  <c r="T22" i="3"/>
  <c r="U22" i="3"/>
  <c r="R13" i="3"/>
  <c r="S13" i="3"/>
  <c r="K24" i="4"/>
  <c r="P13" i="3"/>
  <c r="Q13" i="3"/>
  <c r="T13" i="3"/>
  <c r="U13" i="3"/>
  <c r="R14" i="3"/>
  <c r="S14" i="3"/>
  <c r="R15" i="3"/>
  <c r="S15" i="3"/>
  <c r="P15" i="3"/>
  <c r="T15" i="3"/>
  <c r="U15" i="3"/>
  <c r="P16" i="3"/>
  <c r="Q16" i="3"/>
  <c r="T16" i="3"/>
  <c r="U16" i="3"/>
  <c r="R16" i="3"/>
  <c r="S16" i="3"/>
  <c r="K27" i="4"/>
  <c r="AI8" i="3"/>
  <c r="L8" i="3"/>
  <c r="J19" i="4"/>
  <c r="K20" i="8"/>
  <c r="H47" i="6"/>
  <c r="S14" i="8"/>
  <c r="W14" i="8"/>
  <c r="Q14" i="8"/>
  <c r="S40" i="8"/>
  <c r="S17" i="3"/>
  <c r="K28" i="4"/>
  <c r="V19" i="3"/>
  <c r="AJ9" i="3"/>
  <c r="M9" i="3"/>
  <c r="BC9" i="3"/>
  <c r="E12" i="3"/>
  <c r="C23" i="4"/>
  <c r="AJ8" i="3"/>
  <c r="M8" i="3"/>
  <c r="BC8" i="3"/>
  <c r="AI9" i="3"/>
  <c r="L9" i="3"/>
  <c r="J20" i="4"/>
  <c r="P9" i="3"/>
  <c r="K20" i="4"/>
  <c r="R9" i="3"/>
  <c r="S9" i="3"/>
  <c r="AS9" i="3"/>
  <c r="H28" i="9"/>
  <c r="AL31" i="6"/>
  <c r="B39" i="14"/>
  <c r="C39" i="14"/>
  <c r="B54" i="14"/>
  <c r="C54" i="14"/>
  <c r="R32" i="6"/>
  <c r="B67" i="14"/>
  <c r="C67" i="14"/>
  <c r="D29" i="9"/>
  <c r="H16" i="9"/>
  <c r="B73" i="14"/>
  <c r="C73" i="14"/>
  <c r="AQ47" i="3"/>
  <c r="I19" i="15"/>
  <c r="A14" i="3"/>
  <c r="B25" i="4"/>
  <c r="C26" i="4"/>
  <c r="A15" i="3"/>
  <c r="B26" i="4"/>
  <c r="C31" i="4"/>
  <c r="A20" i="3"/>
  <c r="B31" i="4"/>
  <c r="C32" i="4"/>
  <c r="A21" i="3"/>
  <c r="B32" i="4"/>
  <c r="C40" i="4"/>
  <c r="A30" i="3"/>
  <c r="B40" i="4"/>
  <c r="C48" i="4"/>
  <c r="A38" i="3"/>
  <c r="B48" i="4"/>
  <c r="C57" i="4"/>
  <c r="A47" i="3"/>
  <c r="B57" i="4"/>
  <c r="C60" i="4"/>
  <c r="A50" i="3"/>
  <c r="B60" i="4"/>
  <c r="A51" i="3"/>
  <c r="B61" i="4"/>
  <c r="C62" i="4"/>
  <c r="A52" i="3"/>
  <c r="B62" i="4"/>
  <c r="A88" i="3"/>
  <c r="B96" i="4"/>
  <c r="K21" i="8"/>
  <c r="K19" i="8"/>
  <c r="Q47" i="6"/>
  <c r="O47" i="6"/>
  <c r="P47" i="6"/>
  <c r="K22" i="8"/>
  <c r="E34" i="8"/>
  <c r="E33" i="8"/>
  <c r="H31" i="6"/>
  <c r="J31" i="6"/>
  <c r="AE31" i="6"/>
  <c r="E35" i="8"/>
  <c r="E32" i="8"/>
  <c r="Q31" i="6"/>
  <c r="O31" i="6"/>
  <c r="A8" i="3"/>
  <c r="B19" i="4"/>
  <c r="C35" i="4"/>
  <c r="A25" i="3"/>
  <c r="B35" i="4"/>
  <c r="C38" i="4"/>
  <c r="A28" i="3"/>
  <c r="B38" i="4"/>
  <c r="A42" i="3"/>
  <c r="B53" i="4"/>
  <c r="C56" i="4"/>
  <c r="A46" i="3"/>
  <c r="B56" i="4"/>
  <c r="A54" i="3"/>
  <c r="B64" i="4"/>
  <c r="C75" i="4"/>
  <c r="A66" i="3"/>
  <c r="B75" i="4"/>
  <c r="C79" i="4"/>
  <c r="A86" i="3"/>
  <c r="B94" i="4"/>
  <c r="A89" i="3"/>
  <c r="B97" i="4"/>
  <c r="C105" i="4"/>
  <c r="A97" i="3"/>
  <c r="B105" i="4"/>
  <c r="C109" i="4"/>
  <c r="A101" i="3"/>
  <c r="B109" i="4"/>
  <c r="D35" i="8"/>
  <c r="D33" i="8"/>
  <c r="D34" i="8"/>
  <c r="D32" i="8"/>
  <c r="AK74" i="3"/>
  <c r="AN74" i="3"/>
  <c r="V44" i="8"/>
  <c r="V46" i="8"/>
  <c r="P36" i="3"/>
  <c r="Q36" i="3"/>
  <c r="R104" i="3"/>
  <c r="S104" i="3"/>
  <c r="P105" i="6"/>
  <c r="Z105" i="6"/>
  <c r="A169" i="3"/>
  <c r="B175" i="4"/>
  <c r="L68" i="3"/>
  <c r="J76" i="4"/>
  <c r="BC68" i="3"/>
  <c r="U16" i="6"/>
  <c r="AK28" i="3"/>
  <c r="AL10" i="3"/>
  <c r="AM10" i="3"/>
  <c r="A127" i="3"/>
  <c r="B134" i="4"/>
  <c r="C134" i="4"/>
  <c r="AL8" i="3"/>
  <c r="AM8" i="3"/>
  <c r="AR74" i="3"/>
  <c r="AL11" i="3"/>
  <c r="AM11" i="3"/>
  <c r="A125" i="3"/>
  <c r="B132" i="4"/>
  <c r="C132" i="4"/>
  <c r="A126" i="3"/>
  <c r="B133" i="4"/>
  <c r="AL9" i="3"/>
  <c r="AM9" i="3"/>
  <c r="AQ98" i="3"/>
  <c r="O77" i="3"/>
  <c r="L85" i="4"/>
  <c r="U77" i="3"/>
  <c r="Q77" i="3"/>
  <c r="S77" i="3"/>
  <c r="AI77" i="3"/>
  <c r="L77" i="3"/>
  <c r="Q10" i="3"/>
  <c r="Q144" i="3"/>
  <c r="AM68" i="3"/>
  <c r="AM67" i="3"/>
  <c r="O65" i="3"/>
  <c r="L74" i="4"/>
  <c r="O68" i="3"/>
  <c r="L76" i="4"/>
  <c r="A68" i="3"/>
  <c r="B76" i="4"/>
  <c r="AQ146" i="3"/>
  <c r="AQ42" i="3"/>
  <c r="Q123" i="3"/>
  <c r="T74" i="3"/>
  <c r="U74" i="3"/>
  <c r="O82" i="3"/>
  <c r="L90" i="4"/>
  <c r="O162" i="3"/>
  <c r="L168" i="4"/>
  <c r="AQ163" i="3"/>
  <c r="AD76" i="3"/>
  <c r="Q49" i="3"/>
  <c r="A75" i="3"/>
  <c r="B83" i="4"/>
  <c r="P68" i="3"/>
  <c r="AQ90" i="3"/>
  <c r="Q40" i="3"/>
  <c r="AQ52" i="3"/>
  <c r="AQ88" i="3"/>
  <c r="AL33" i="3"/>
  <c r="AM33" i="3"/>
  <c r="AL30" i="3"/>
  <c r="AM30" i="3"/>
  <c r="AL27" i="3"/>
  <c r="AM27" i="3"/>
  <c r="AL25" i="3"/>
  <c r="R68" i="3"/>
  <c r="S68" i="3"/>
  <c r="AL32" i="3"/>
  <c r="AM32" i="3"/>
  <c r="A163" i="3"/>
  <c r="B169" i="4"/>
  <c r="K76" i="4"/>
  <c r="Y115" i="3"/>
  <c r="AQ22" i="3"/>
  <c r="G168" i="4"/>
  <c r="AI162" i="3"/>
  <c r="L162" i="3"/>
  <c r="J168" i="4"/>
  <c r="AQ30" i="3"/>
  <c r="Q54" i="3"/>
  <c r="E162" i="3"/>
  <c r="C168" i="4"/>
  <c r="Q28" i="3"/>
  <c r="L91" i="3"/>
  <c r="J99" i="4"/>
  <c r="P82" i="3"/>
  <c r="AQ142" i="3"/>
  <c r="Q20" i="3"/>
  <c r="AC85" i="3"/>
  <c r="Q15" i="3"/>
  <c r="Q45" i="3"/>
  <c r="A124" i="3"/>
  <c r="B131" i="4"/>
  <c r="AR115" i="3"/>
  <c r="Q17" i="3"/>
  <c r="Y110" i="3"/>
  <c r="K168" i="4"/>
  <c r="R162" i="3"/>
  <c r="S162" i="3"/>
  <c r="P162" i="3"/>
  <c r="Q94" i="3"/>
  <c r="AQ94" i="3"/>
  <c r="A81" i="3"/>
  <c r="B89" i="4"/>
  <c r="Q38" i="3"/>
  <c r="C84" i="4"/>
  <c r="A76" i="3"/>
  <c r="B84" i="4"/>
  <c r="C82" i="4"/>
  <c r="AQ167" i="3"/>
  <c r="T162" i="3"/>
  <c r="U162" i="3"/>
  <c r="AR79" i="3"/>
  <c r="AQ33" i="3"/>
  <c r="T82" i="3"/>
  <c r="U82" i="3"/>
  <c r="K90" i="4"/>
  <c r="R82" i="3"/>
  <c r="S82" i="3"/>
  <c r="AR116" i="3"/>
  <c r="AR65" i="3"/>
  <c r="B74" i="4"/>
  <c r="AQ91" i="3"/>
  <c r="AQ80" i="3"/>
  <c r="P65" i="3"/>
  <c r="AQ65" i="3"/>
  <c r="AQ145" i="3"/>
  <c r="AQ120" i="3"/>
  <c r="AR120" i="3"/>
  <c r="C120" i="4"/>
  <c r="AQ58" i="3"/>
  <c r="AQ53" i="3"/>
  <c r="Q26" i="3"/>
  <c r="AQ13" i="3"/>
  <c r="AK29" i="3"/>
  <c r="Z77" i="3"/>
  <c r="AR77" i="3"/>
  <c r="J85" i="4"/>
  <c r="N85" i="4"/>
  <c r="AQ77" i="3"/>
  <c r="AQ68" i="3"/>
  <c r="G25" i="2"/>
  <c r="E27" i="18"/>
  <c r="G29" i="2"/>
  <c r="E31" i="18"/>
  <c r="BB56" i="3"/>
  <c r="BB57" i="3"/>
  <c r="BB114" i="3"/>
  <c r="BA114" i="3"/>
  <c r="L65" i="3"/>
  <c r="J74" i="4"/>
  <c r="BC65" i="3"/>
  <c r="R81" i="3"/>
  <c r="S81" i="3"/>
  <c r="K74" i="4"/>
  <c r="M116" i="6"/>
  <c r="W116" i="6"/>
  <c r="I116" i="6"/>
  <c r="A22" i="3"/>
  <c r="B33" i="4"/>
  <c r="C33" i="4"/>
  <c r="AT47" i="3"/>
  <c r="AS47" i="3"/>
  <c r="AI47" i="3"/>
  <c r="L47" i="3"/>
  <c r="J57" i="4"/>
  <c r="AT63" i="3"/>
  <c r="AS63" i="3"/>
  <c r="AJ63" i="3"/>
  <c r="M63" i="3"/>
  <c r="BC63" i="3"/>
  <c r="AI63" i="3"/>
  <c r="L63" i="3"/>
  <c r="J72" i="4"/>
  <c r="C126" i="4"/>
  <c r="A119" i="3"/>
  <c r="B126" i="4"/>
  <c r="F21" i="8"/>
  <c r="F22" i="8"/>
  <c r="P18" i="8"/>
  <c r="P21" i="8"/>
  <c r="G104" i="6"/>
  <c r="N104" i="6"/>
  <c r="J104" i="6"/>
  <c r="AE104" i="6"/>
  <c r="G94" i="6"/>
  <c r="N94" i="6"/>
  <c r="L94" i="6"/>
  <c r="AQ107" i="3"/>
  <c r="AQ114" i="3"/>
  <c r="F79" i="8"/>
  <c r="F82" i="8"/>
  <c r="F57" i="8"/>
  <c r="F60" i="8"/>
  <c r="F115" i="8"/>
  <c r="F118" i="8"/>
  <c r="F93" i="8"/>
  <c r="F96" i="8"/>
  <c r="F107" i="8"/>
  <c r="M115" i="8"/>
  <c r="M93" i="8"/>
  <c r="A162" i="3"/>
  <c r="B168" i="4"/>
  <c r="Q32" i="3"/>
  <c r="Q65" i="3"/>
  <c r="R65" i="3"/>
  <c r="S65" i="3"/>
  <c r="AQ164" i="3"/>
  <c r="AQ45" i="3"/>
  <c r="Q34" i="3"/>
  <c r="C69" i="4"/>
  <c r="AR17" i="3"/>
  <c r="Y112" i="3"/>
  <c r="AQ116" i="3"/>
  <c r="AJ103" i="3"/>
  <c r="M103" i="3"/>
  <c r="BC103" i="3"/>
  <c r="Q91" i="3"/>
  <c r="Q145" i="3"/>
  <c r="U110" i="3"/>
  <c r="C81" i="4"/>
  <c r="AQ96" i="3"/>
  <c r="O110" i="3"/>
  <c r="L118" i="4"/>
  <c r="AJ118" i="3"/>
  <c r="A49" i="3"/>
  <c r="B59" i="4"/>
  <c r="A9" i="3"/>
  <c r="B20" i="4"/>
  <c r="T121" i="3"/>
  <c r="J162" i="3"/>
  <c r="H168" i="4"/>
  <c r="AT162" i="3"/>
  <c r="AS162" i="3"/>
  <c r="AJ162" i="3"/>
  <c r="M162" i="3"/>
  <c r="BC162" i="3"/>
  <c r="A129" i="3"/>
  <c r="B136" i="4"/>
  <c r="L151" i="3"/>
  <c r="J157" i="4"/>
  <c r="BC134" i="3"/>
  <c r="D20" i="8"/>
  <c r="E133" i="8"/>
  <c r="AF116" i="6"/>
  <c r="N24" i="6"/>
  <c r="L104" i="6"/>
  <c r="N22" i="10"/>
  <c r="L28" i="10"/>
  <c r="L26" i="10"/>
  <c r="P23" i="15"/>
  <c r="Q23" i="15"/>
  <c r="AT17" i="3"/>
  <c r="AS17" i="3"/>
  <c r="AI17" i="3"/>
  <c r="L17" i="3"/>
  <c r="J28" i="4"/>
  <c r="C86" i="4"/>
  <c r="A78" i="3"/>
  <c r="B86" i="4"/>
  <c r="M91" i="3"/>
  <c r="BC91" i="3"/>
  <c r="M85" i="3"/>
  <c r="BC85" i="3"/>
  <c r="C103" i="4"/>
  <c r="A95" i="3"/>
  <c r="B103" i="4"/>
  <c r="AL108" i="3"/>
  <c r="AM108" i="3"/>
  <c r="AK108" i="3"/>
  <c r="E2" i="14"/>
  <c r="G16" i="9"/>
  <c r="F16" i="9"/>
  <c r="R86" i="3"/>
  <c r="S86" i="3"/>
  <c r="U86" i="3"/>
  <c r="Q86" i="3"/>
  <c r="O148" i="3"/>
  <c r="L154" i="4"/>
  <c r="P148" i="3"/>
  <c r="C119" i="4"/>
  <c r="A111" i="3"/>
  <c r="B119" i="4"/>
  <c r="C157" i="4"/>
  <c r="A151" i="3"/>
  <c r="B157" i="4"/>
  <c r="K131" i="4"/>
  <c r="O124" i="3"/>
  <c r="L131" i="4"/>
  <c r="Q124" i="3"/>
  <c r="F19" i="8"/>
  <c r="N99" i="6"/>
  <c r="G99" i="6"/>
  <c r="Y99" i="6"/>
  <c r="J99" i="6"/>
  <c r="AE99" i="6"/>
  <c r="R49" i="3"/>
  <c r="S49" i="3"/>
  <c r="O49" i="3"/>
  <c r="L59" i="4"/>
  <c r="T34" i="3"/>
  <c r="U34" i="3"/>
  <c r="O34" i="3"/>
  <c r="L44" i="4"/>
  <c r="S34" i="3"/>
  <c r="A35" i="3"/>
  <c r="B45" i="4"/>
  <c r="C45" i="4"/>
  <c r="D32" i="18"/>
  <c r="U40" i="2"/>
  <c r="C37" i="4"/>
  <c r="A27" i="3"/>
  <c r="B37" i="4"/>
  <c r="AL44" i="3"/>
  <c r="AL45" i="3"/>
  <c r="AK42" i="3"/>
  <c r="AK44" i="3"/>
  <c r="AK45" i="3"/>
  <c r="AT75" i="3"/>
  <c r="AS75" i="3"/>
  <c r="I83" i="4"/>
  <c r="AJ75" i="3"/>
  <c r="M75" i="3"/>
  <c r="BC75" i="3"/>
  <c r="K89" i="4"/>
  <c r="AT149" i="3"/>
  <c r="AS149" i="3"/>
  <c r="AI149" i="3"/>
  <c r="L149" i="3"/>
  <c r="J155" i="4"/>
  <c r="AJ149" i="3"/>
  <c r="M149" i="3"/>
  <c r="BC149" i="3"/>
  <c r="I168" i="4"/>
  <c r="BA162" i="3"/>
  <c r="S96" i="3"/>
  <c r="K104" i="4"/>
  <c r="R149" i="3"/>
  <c r="S149" i="3"/>
  <c r="O149" i="3"/>
  <c r="L155" i="4"/>
  <c r="C111" i="4"/>
  <c r="A103" i="3"/>
  <c r="B111" i="4"/>
  <c r="AR18" i="3"/>
  <c r="I109" i="14"/>
  <c r="K22" i="9"/>
  <c r="J22" i="9"/>
  <c r="F47" i="8"/>
  <c r="F45" i="8"/>
  <c r="F46" i="8"/>
  <c r="J111" i="6"/>
  <c r="AE111" i="6"/>
  <c r="G111" i="6"/>
  <c r="N111" i="6"/>
  <c r="Y111" i="6"/>
  <c r="J116" i="6"/>
  <c r="AE116" i="6"/>
  <c r="L116" i="6"/>
  <c r="Y116" i="6"/>
  <c r="H84" i="14"/>
  <c r="I84" i="14"/>
  <c r="F48" i="14"/>
  <c r="G48" i="14"/>
  <c r="D42" i="14"/>
  <c r="E42" i="14"/>
  <c r="F69" i="14"/>
  <c r="G69" i="14"/>
  <c r="D71" i="14"/>
  <c r="E71" i="14"/>
  <c r="AL64" i="6"/>
  <c r="S64" i="6"/>
  <c r="O121" i="3"/>
  <c r="L128" i="4"/>
  <c r="K128" i="4"/>
  <c r="R121" i="3"/>
  <c r="S121" i="3"/>
  <c r="U121" i="3"/>
  <c r="O32" i="3"/>
  <c r="L42" i="4"/>
  <c r="K42" i="4"/>
  <c r="A85" i="3"/>
  <c r="B93" i="4"/>
  <c r="C93" i="4"/>
  <c r="T117" i="3"/>
  <c r="U117" i="3"/>
  <c r="R117" i="3"/>
  <c r="S117" i="3"/>
  <c r="P117" i="3"/>
  <c r="AI117" i="3"/>
  <c r="L117" i="3"/>
  <c r="AS117" i="3"/>
  <c r="R105" i="3"/>
  <c r="S105" i="3"/>
  <c r="K113" i="4"/>
  <c r="O105" i="3"/>
  <c r="L113" i="4"/>
  <c r="P105" i="3"/>
  <c r="AQ105" i="3"/>
  <c r="AQ104" i="3"/>
  <c r="AQ157" i="3"/>
  <c r="Q85" i="3"/>
  <c r="Q103" i="3"/>
  <c r="Q117" i="3"/>
  <c r="AQ16" i="3"/>
  <c r="U32" i="3"/>
  <c r="R32" i="3"/>
  <c r="S32" i="3"/>
  <c r="AZ44" i="3"/>
  <c r="U161" i="3"/>
  <c r="U160" i="3"/>
  <c r="R164" i="3"/>
  <c r="S164" i="3"/>
  <c r="T145" i="3"/>
  <c r="U145" i="3"/>
  <c r="S110" i="3"/>
  <c r="C124" i="4"/>
  <c r="AI88" i="3"/>
  <c r="L88" i="3"/>
  <c r="J96" i="4"/>
  <c r="P149" i="3"/>
  <c r="Q149" i="3"/>
  <c r="K118" i="4"/>
  <c r="E118" i="3"/>
  <c r="C125" i="4"/>
  <c r="Y94" i="6"/>
  <c r="F48" i="8"/>
  <c r="E132" i="8"/>
  <c r="H79" i="6"/>
  <c r="J79" i="6"/>
  <c r="AE79" i="6"/>
  <c r="E134" i="8"/>
  <c r="E17" i="13"/>
  <c r="E20" i="13"/>
  <c r="E22" i="13"/>
  <c r="D33" i="14"/>
  <c r="E33" i="14"/>
  <c r="X116" i="6"/>
  <c r="P23" i="11"/>
  <c r="O23" i="11"/>
  <c r="AT46" i="3"/>
  <c r="AS46" i="3"/>
  <c r="AJ46" i="3"/>
  <c r="M46" i="3"/>
  <c r="BC46" i="3"/>
  <c r="AT49" i="3"/>
  <c r="AS49" i="3"/>
  <c r="AI49" i="3"/>
  <c r="L49" i="3"/>
  <c r="J59" i="4"/>
  <c r="AJ49" i="3"/>
  <c r="M49" i="3"/>
  <c r="BC49" i="3"/>
  <c r="AT61" i="3"/>
  <c r="AS61" i="3"/>
  <c r="AJ61" i="3"/>
  <c r="M61" i="3"/>
  <c r="BC61" i="3"/>
  <c r="AT92" i="3"/>
  <c r="AS92" i="3"/>
  <c r="AJ92" i="3"/>
  <c r="M92" i="3"/>
  <c r="BC92" i="3"/>
  <c r="J108" i="3"/>
  <c r="H116" i="4"/>
  <c r="W106" i="3"/>
  <c r="X106" i="3"/>
  <c r="E108" i="3"/>
  <c r="N108" i="3"/>
  <c r="W109" i="3"/>
  <c r="G120" i="4"/>
  <c r="N112" i="3"/>
  <c r="AA115" i="3"/>
  <c r="AQ115" i="3"/>
  <c r="J112" i="3"/>
  <c r="H120" i="4"/>
  <c r="Z119" i="3"/>
  <c r="AR119" i="3"/>
  <c r="K156" i="4"/>
  <c r="O150" i="3"/>
  <c r="L156" i="4"/>
  <c r="U97" i="3"/>
  <c r="Q97" i="3"/>
  <c r="S97" i="3"/>
  <c r="AT161" i="3"/>
  <c r="AS161" i="3"/>
  <c r="J161" i="3"/>
  <c r="H167" i="4"/>
  <c r="I160" i="3"/>
  <c r="E161" i="3"/>
  <c r="AQ162" i="3"/>
  <c r="C173" i="4"/>
  <c r="A167" i="3"/>
  <c r="B173" i="4"/>
  <c r="AI124" i="3"/>
  <c r="L124" i="3"/>
  <c r="J131" i="4"/>
  <c r="G112" i="14"/>
  <c r="I25" i="9"/>
  <c r="H25" i="9"/>
  <c r="AQ15" i="3"/>
  <c r="U11" i="3"/>
  <c r="O11" i="3"/>
  <c r="L22" i="4"/>
  <c r="K22" i="4"/>
  <c r="R11" i="3"/>
  <c r="S11" i="3"/>
  <c r="R44" i="8"/>
  <c r="R48" i="8"/>
  <c r="E30" i="13"/>
  <c r="H19" i="11"/>
  <c r="I19" i="11"/>
  <c r="K23" i="15"/>
  <c r="N23" i="15"/>
  <c r="H18" i="15"/>
  <c r="O18" i="15"/>
  <c r="E11" i="13"/>
  <c r="AS29" i="3"/>
  <c r="AR39" i="3"/>
  <c r="AJ42" i="3"/>
  <c r="M42" i="3"/>
  <c r="BC42" i="3"/>
  <c r="AT42" i="3"/>
  <c r="AS42" i="3"/>
  <c r="AK54" i="3"/>
  <c r="AK99" i="3"/>
  <c r="AB106" i="3"/>
  <c r="AJ108" i="3"/>
  <c r="M108" i="3"/>
  <c r="BC108" i="3"/>
  <c r="AR26" i="3"/>
  <c r="AR44" i="3"/>
  <c r="AT111" i="3"/>
  <c r="AS111" i="3"/>
  <c r="BB111" i="3"/>
  <c r="U18" i="8"/>
  <c r="U44" i="8"/>
  <c r="U45" i="8"/>
  <c r="Q75" i="6"/>
  <c r="U133" i="8"/>
  <c r="V9" i="3"/>
  <c r="AR9" i="3"/>
  <c r="AR8" i="3"/>
  <c r="AI79" i="3"/>
  <c r="L79" i="3"/>
  <c r="J87" i="4"/>
  <c r="Z20" i="6"/>
  <c r="Z16" i="6"/>
  <c r="H22" i="15"/>
  <c r="K18" i="11"/>
  <c r="L18" i="11"/>
  <c r="M18" i="11"/>
  <c r="AK36" i="3"/>
  <c r="AK47" i="3"/>
  <c r="AK104" i="3"/>
  <c r="AI112" i="3"/>
  <c r="L112" i="3"/>
  <c r="J120" i="4"/>
  <c r="U150" i="3"/>
  <c r="AK167" i="3"/>
  <c r="L103" i="3"/>
  <c r="J111" i="4"/>
  <c r="AA61" i="2"/>
  <c r="G61" i="2"/>
  <c r="X61" i="2"/>
  <c r="H61" i="2"/>
  <c r="O18" i="8"/>
  <c r="O22" i="8"/>
  <c r="Y26" i="8"/>
  <c r="M31" i="8"/>
  <c r="S44" i="8"/>
  <c r="D62" i="8"/>
  <c r="K79" i="8"/>
  <c r="K82" i="8"/>
  <c r="K57" i="8"/>
  <c r="AQ161" i="3"/>
  <c r="R18" i="8"/>
  <c r="R21" i="8"/>
  <c r="N31" i="8"/>
  <c r="N32" i="8"/>
  <c r="R31" i="8"/>
  <c r="P44" i="8"/>
  <c r="P46" i="8"/>
  <c r="T44" i="8"/>
  <c r="T46" i="8"/>
  <c r="G132" i="8"/>
  <c r="H80" i="6"/>
  <c r="L80" i="6"/>
  <c r="AR45" i="3"/>
  <c r="AQ83" i="3"/>
  <c r="AK114" i="3"/>
  <c r="O115" i="8"/>
  <c r="O117" i="8"/>
  <c r="O118" i="8"/>
  <c r="D120" i="8"/>
  <c r="E72" i="8"/>
  <c r="E73" i="8"/>
  <c r="V97" i="8"/>
  <c r="N95" i="8"/>
  <c r="R95" i="8"/>
  <c r="T106" i="8"/>
  <c r="T108" i="8"/>
  <c r="I19" i="4"/>
  <c r="AS8" i="3"/>
  <c r="Q163" i="3"/>
  <c r="T57" i="8"/>
  <c r="T60" i="8"/>
  <c r="D61" i="8"/>
  <c r="F62" i="8"/>
  <c r="N59" i="8"/>
  <c r="Q57" i="8"/>
  <c r="Q79" i="8"/>
  <c r="Q81" i="8"/>
  <c r="Q82" i="8"/>
  <c r="T79" i="8"/>
  <c r="W97" i="8"/>
  <c r="D97" i="8"/>
  <c r="S95" i="8"/>
  <c r="U93" i="8"/>
  <c r="U115" i="8"/>
  <c r="U117" i="8"/>
  <c r="U118" i="8"/>
  <c r="Y113" i="8"/>
  <c r="R117" i="8"/>
  <c r="R119" i="8"/>
  <c r="AD18" i="3"/>
  <c r="AQ57" i="3"/>
  <c r="AK13" i="3"/>
  <c r="AL117" i="3"/>
  <c r="AK117" i="3"/>
  <c r="H79" i="8"/>
  <c r="H57" i="8"/>
  <c r="L93" i="8"/>
  <c r="L96" i="8"/>
  <c r="L115" i="8"/>
  <c r="K120" i="8"/>
  <c r="S119" i="8"/>
  <c r="W117" i="8"/>
  <c r="AS18" i="3"/>
  <c r="AS39" i="3"/>
  <c r="AA12" i="3"/>
  <c r="F12" i="3"/>
  <c r="AQ117" i="3"/>
  <c r="AK105" i="3"/>
  <c r="AQ67" i="3"/>
  <c r="P62" i="8"/>
  <c r="R70" i="8"/>
  <c r="I82" i="8"/>
  <c r="Q84" i="8"/>
  <c r="U81" i="8"/>
  <c r="U83" i="8"/>
  <c r="E97" i="8"/>
  <c r="T95" i="8"/>
  <c r="T97" i="8"/>
  <c r="N106" i="8"/>
  <c r="N109" i="8"/>
  <c r="C112" i="8"/>
  <c r="T117" i="8"/>
  <c r="T119" i="8"/>
  <c r="AK17" i="3"/>
  <c r="AK18" i="3"/>
  <c r="AK19" i="3"/>
  <c r="AK107" i="3"/>
  <c r="AK121" i="3"/>
  <c r="W59" i="8"/>
  <c r="W62" i="8"/>
  <c r="S59" i="8"/>
  <c r="S62" i="8"/>
  <c r="O70" i="8"/>
  <c r="W70" i="8"/>
  <c r="N81" i="8"/>
  <c r="N83" i="8"/>
  <c r="R81" i="8"/>
  <c r="R83" i="8"/>
  <c r="M95" i="8"/>
  <c r="S106" i="8"/>
  <c r="B57" i="14"/>
  <c r="C57" i="14"/>
  <c r="B62" i="14"/>
  <c r="C62" i="14"/>
  <c r="B56" i="14"/>
  <c r="C56" i="14"/>
  <c r="J16" i="9"/>
  <c r="B59" i="14"/>
  <c r="C59" i="14"/>
  <c r="B50" i="14"/>
  <c r="C50" i="14"/>
  <c r="B61" i="14"/>
  <c r="C61" i="14"/>
  <c r="B48" i="14"/>
  <c r="C48" i="14"/>
  <c r="B85" i="14"/>
  <c r="C85" i="14"/>
  <c r="AK31" i="6"/>
  <c r="B52" i="14"/>
  <c r="C52" i="14"/>
  <c r="B81" i="14"/>
  <c r="C81" i="14"/>
  <c r="C110" i="14"/>
  <c r="E23" i="9"/>
  <c r="B60" i="14"/>
  <c r="C60" i="14"/>
  <c r="B146" i="14"/>
  <c r="C146" i="14"/>
  <c r="B38" i="14"/>
  <c r="C38" i="14"/>
  <c r="B71" i="14"/>
  <c r="C71" i="14"/>
  <c r="E31" i="6"/>
  <c r="F31" i="6"/>
  <c r="J27" i="9"/>
  <c r="AC30" i="2"/>
  <c r="E63" i="2"/>
  <c r="A79" i="3"/>
  <c r="B87" i="4"/>
  <c r="AS74" i="3"/>
  <c r="K82" i="4"/>
  <c r="P74" i="3"/>
  <c r="Q74" i="3"/>
  <c r="O74" i="3"/>
  <c r="L82" i="4"/>
  <c r="AQ19" i="3"/>
  <c r="T18" i="3"/>
  <c r="P18" i="3"/>
  <c r="Q18" i="3"/>
  <c r="R18" i="3"/>
  <c r="S18" i="3"/>
  <c r="U18" i="3"/>
  <c r="A18" i="3"/>
  <c r="B29" i="4"/>
  <c r="O18" i="3"/>
  <c r="L29" i="4"/>
  <c r="R19" i="3"/>
  <c r="S19" i="3"/>
  <c r="O19" i="3"/>
  <c r="L30" i="4"/>
  <c r="C30" i="4"/>
  <c r="K30" i="4"/>
  <c r="T19" i="3"/>
  <c r="U19" i="3"/>
  <c r="AS19" i="3"/>
  <c r="AQ26" i="3"/>
  <c r="AS26" i="3"/>
  <c r="O39" i="3"/>
  <c r="L49" i="4"/>
  <c r="U39" i="3"/>
  <c r="AQ39" i="3"/>
  <c r="S39" i="3"/>
  <c r="AD39" i="3"/>
  <c r="K49" i="4"/>
  <c r="P44" i="3"/>
  <c r="Q44" i="3"/>
  <c r="AS44" i="3"/>
  <c r="K54" i="4"/>
  <c r="O44" i="3"/>
  <c r="L54" i="4"/>
  <c r="U44" i="3"/>
  <c r="AD44" i="3"/>
  <c r="AQ44" i="3"/>
  <c r="AS45" i="3"/>
  <c r="A56" i="3"/>
  <c r="B66" i="4"/>
  <c r="A57" i="3"/>
  <c r="B67" i="4"/>
  <c r="AS57" i="3"/>
  <c r="E85" i="6"/>
  <c r="F85" i="6"/>
  <c r="F63" i="14"/>
  <c r="G63" i="14"/>
  <c r="H82" i="14"/>
  <c r="I82" i="14"/>
  <c r="D35" i="14"/>
  <c r="E35" i="14"/>
  <c r="H33" i="14"/>
  <c r="I33" i="14"/>
  <c r="F38" i="14"/>
  <c r="G38" i="14"/>
  <c r="F42" i="14"/>
  <c r="G42" i="14"/>
  <c r="H81" i="14"/>
  <c r="I81" i="14"/>
  <c r="D37" i="14"/>
  <c r="E37" i="14"/>
  <c r="H57" i="14"/>
  <c r="I57" i="14"/>
  <c r="R85" i="6"/>
  <c r="H31" i="14"/>
  <c r="I31" i="14"/>
  <c r="D146" i="14"/>
  <c r="E146" i="14"/>
  <c r="E110" i="14"/>
  <c r="G23" i="9"/>
  <c r="D145" i="14"/>
  <c r="E145" i="14"/>
  <c r="D17" i="9"/>
  <c r="D56" i="14"/>
  <c r="E56" i="14"/>
  <c r="D55" i="14"/>
  <c r="E55" i="14"/>
  <c r="D36" i="14"/>
  <c r="E36" i="14"/>
  <c r="H147" i="14"/>
  <c r="I147" i="14"/>
  <c r="H46" i="14"/>
  <c r="I46" i="14"/>
  <c r="F65" i="14"/>
  <c r="G65" i="14"/>
  <c r="H77" i="14"/>
  <c r="I77" i="14"/>
  <c r="E113" i="14"/>
  <c r="G26" i="9"/>
  <c r="H148" i="14"/>
  <c r="I148" i="14"/>
  <c r="F74" i="14"/>
  <c r="G74" i="14"/>
  <c r="F144" i="14"/>
  <c r="H49" i="9"/>
  <c r="D72" i="14"/>
  <c r="E72" i="14"/>
  <c r="G20" i="9"/>
  <c r="D84" i="14"/>
  <c r="E84" i="14"/>
  <c r="H64" i="14"/>
  <c r="I64" i="14"/>
  <c r="F83" i="14"/>
  <c r="G83" i="14"/>
  <c r="B34" i="14"/>
  <c r="C34" i="14"/>
  <c r="B37" i="14"/>
  <c r="C37" i="14"/>
  <c r="B30" i="14"/>
  <c r="C30" i="14"/>
  <c r="E18" i="9"/>
  <c r="B47" i="14"/>
  <c r="C47" i="14"/>
  <c r="R31" i="6"/>
  <c r="AK49" i="6"/>
  <c r="E49" i="6"/>
  <c r="F49" i="6"/>
  <c r="H80" i="14"/>
  <c r="I80" i="14"/>
  <c r="F66" i="14"/>
  <c r="H19" i="9"/>
  <c r="F67" i="14"/>
  <c r="G67" i="14"/>
  <c r="F58" i="14"/>
  <c r="G58" i="14"/>
  <c r="F62" i="14"/>
  <c r="G62" i="14"/>
  <c r="H75" i="14"/>
  <c r="I75" i="14"/>
  <c r="F72" i="14"/>
  <c r="G72" i="14"/>
  <c r="I20" i="9"/>
  <c r="B148" i="14"/>
  <c r="C148" i="14"/>
  <c r="B80" i="14"/>
  <c r="C80" i="14"/>
  <c r="F84" i="14"/>
  <c r="G84" i="14"/>
  <c r="F34" i="14"/>
  <c r="G34" i="14"/>
  <c r="E111" i="14"/>
  <c r="G24" i="9"/>
  <c r="F47" i="14"/>
  <c r="G47" i="14"/>
  <c r="H35" i="14"/>
  <c r="I35" i="14"/>
  <c r="D52" i="14"/>
  <c r="E52" i="14"/>
  <c r="E79" i="6"/>
  <c r="F79" i="6"/>
  <c r="I112" i="14"/>
  <c r="K25" i="9"/>
  <c r="R79" i="6"/>
  <c r="AK79" i="6"/>
  <c r="R64" i="6"/>
  <c r="C113" i="14"/>
  <c r="E26" i="9"/>
  <c r="E29" i="13"/>
  <c r="H146" i="14"/>
  <c r="I146" i="14"/>
  <c r="F145" i="14"/>
  <c r="G145" i="14"/>
  <c r="D78" i="14"/>
  <c r="E78" i="14"/>
  <c r="D39" i="14"/>
  <c r="E39" i="14"/>
  <c r="D85" i="14"/>
  <c r="E85" i="14"/>
  <c r="F147" i="14"/>
  <c r="G147" i="14"/>
  <c r="F50" i="14"/>
  <c r="G50" i="14"/>
  <c r="F60" i="14"/>
  <c r="G60" i="14"/>
  <c r="D32" i="14"/>
  <c r="E32" i="14"/>
  <c r="H65" i="14"/>
  <c r="I65" i="14"/>
  <c r="D63" i="14"/>
  <c r="E63" i="14"/>
  <c r="H66" i="14"/>
  <c r="F61" i="14"/>
  <c r="G61" i="14"/>
  <c r="D70" i="14"/>
  <c r="E70" i="14"/>
  <c r="H58" i="14"/>
  <c r="I58" i="14"/>
  <c r="D81" i="14"/>
  <c r="E81" i="14"/>
  <c r="H39" i="14"/>
  <c r="I39" i="14"/>
  <c r="F56" i="14"/>
  <c r="G56" i="14"/>
  <c r="H62" i="14"/>
  <c r="I62" i="14"/>
  <c r="H53" i="14"/>
  <c r="I53" i="14"/>
  <c r="H60" i="14"/>
  <c r="I60" i="14"/>
  <c r="F79" i="14"/>
  <c r="G79" i="14"/>
  <c r="F33" i="14"/>
  <c r="G33" i="14"/>
  <c r="C144" i="14"/>
  <c r="E49" i="9"/>
  <c r="E42" i="6"/>
  <c r="F42" i="6"/>
  <c r="D59" i="14"/>
  <c r="E59" i="14"/>
  <c r="D76" i="14"/>
  <c r="E76" i="14"/>
  <c r="D30" i="14"/>
  <c r="F64" i="14"/>
  <c r="G64" i="14"/>
  <c r="F49" i="14"/>
  <c r="G49" i="14"/>
  <c r="H78" i="14"/>
  <c r="I78" i="14"/>
  <c r="F45" i="14"/>
  <c r="G45" i="14"/>
  <c r="D48" i="14"/>
  <c r="E48" i="14"/>
  <c r="D82" i="14"/>
  <c r="E82" i="14"/>
  <c r="D31" i="14"/>
  <c r="E31" i="14"/>
  <c r="F54" i="14"/>
  <c r="G54" i="14"/>
  <c r="F22" i="9"/>
  <c r="D75" i="14"/>
  <c r="E75" i="14"/>
  <c r="D38" i="14"/>
  <c r="E38" i="14"/>
  <c r="F86" i="14"/>
  <c r="F92" i="14"/>
  <c r="G92" i="14"/>
  <c r="F55" i="14"/>
  <c r="G55" i="14"/>
  <c r="H42" i="14"/>
  <c r="I42" i="14"/>
  <c r="F52" i="14"/>
  <c r="G52" i="14"/>
  <c r="D66" i="14"/>
  <c r="F19" i="9"/>
  <c r="F46" i="14"/>
  <c r="G46" i="14"/>
  <c r="H67" i="14"/>
  <c r="I67" i="14"/>
  <c r="H50" i="14"/>
  <c r="I50" i="14"/>
  <c r="F82" i="14"/>
  <c r="G82" i="14"/>
  <c r="D51" i="14"/>
  <c r="E51" i="14"/>
  <c r="F32" i="18"/>
  <c r="T28" i="2"/>
  <c r="K61" i="2"/>
  <c r="K28" i="2"/>
  <c r="R68" i="6"/>
  <c r="H20" i="9"/>
  <c r="E64" i="6"/>
  <c r="F64" i="6"/>
  <c r="D28" i="9"/>
  <c r="F28" i="9"/>
  <c r="F70" i="14"/>
  <c r="G70" i="14"/>
  <c r="D77" i="14"/>
  <c r="E77" i="14"/>
  <c r="F80" i="14"/>
  <c r="G80" i="14"/>
  <c r="F68" i="14"/>
  <c r="G68" i="14"/>
  <c r="H79" i="14"/>
  <c r="I79" i="14"/>
  <c r="D44" i="14"/>
  <c r="E44" i="14"/>
  <c r="F35" i="14"/>
  <c r="G35" i="14"/>
  <c r="D62" i="14"/>
  <c r="E62" i="14"/>
  <c r="H45" i="14"/>
  <c r="I45" i="14"/>
  <c r="F53" i="14"/>
  <c r="G53" i="14"/>
  <c r="H44" i="14"/>
  <c r="I44" i="14"/>
  <c r="H38" i="14"/>
  <c r="I38" i="14"/>
  <c r="D65" i="14"/>
  <c r="E65" i="14"/>
  <c r="D67" i="14"/>
  <c r="E67" i="14"/>
  <c r="H145" i="14"/>
  <c r="I145" i="14"/>
  <c r="H59" i="14"/>
  <c r="I59" i="14"/>
  <c r="D64" i="14"/>
  <c r="E64" i="14"/>
  <c r="F39" i="14"/>
  <c r="G39" i="14"/>
  <c r="D148" i="14"/>
  <c r="E148" i="14"/>
  <c r="D74" i="14"/>
  <c r="E74" i="14"/>
  <c r="F37" i="14"/>
  <c r="G37" i="14"/>
  <c r="H52" i="14"/>
  <c r="I52" i="14"/>
  <c r="H54" i="14"/>
  <c r="I54" i="14"/>
  <c r="H23" i="9"/>
  <c r="E68" i="6"/>
  <c r="F68" i="6"/>
  <c r="S68" i="6"/>
  <c r="H32" i="14"/>
  <c r="I32" i="14"/>
  <c r="H51" i="14"/>
  <c r="I51" i="14"/>
  <c r="F51" i="14"/>
  <c r="G51" i="14"/>
  <c r="H37" i="14"/>
  <c r="I37" i="14"/>
  <c r="H68" i="14"/>
  <c r="I68" i="14"/>
  <c r="F146" i="14"/>
  <c r="G146" i="14"/>
  <c r="D43" i="14"/>
  <c r="E43" i="14"/>
  <c r="H86" i="14"/>
  <c r="H106" i="14"/>
  <c r="I106" i="14"/>
  <c r="H17" i="9"/>
  <c r="D61" i="14"/>
  <c r="E61" i="14"/>
  <c r="D68" i="14"/>
  <c r="E68" i="14"/>
  <c r="D34" i="14"/>
  <c r="E34" i="14"/>
  <c r="H41" i="14"/>
  <c r="I41" i="14"/>
  <c r="H144" i="14"/>
  <c r="J49" i="9"/>
  <c r="D49" i="14"/>
  <c r="E49" i="14"/>
  <c r="F44" i="14"/>
  <c r="G44" i="14"/>
  <c r="D54" i="14"/>
  <c r="E54" i="14"/>
  <c r="F78" i="14"/>
  <c r="G78" i="14"/>
  <c r="D147" i="14"/>
  <c r="E147" i="14"/>
  <c r="H85" i="14"/>
  <c r="I85" i="14"/>
  <c r="F75" i="14"/>
  <c r="G75" i="14"/>
  <c r="H55" i="14"/>
  <c r="I55" i="14"/>
  <c r="H56" i="14"/>
  <c r="I56" i="14"/>
  <c r="I116" i="14"/>
  <c r="K29" i="9"/>
  <c r="F57" i="14"/>
  <c r="G57" i="14"/>
  <c r="AK68" i="6"/>
  <c r="J24" i="9"/>
  <c r="J17" i="9"/>
  <c r="AK64" i="6"/>
  <c r="R81" i="6"/>
  <c r="H74" i="14"/>
  <c r="I74" i="14"/>
  <c r="H30" i="14"/>
  <c r="H48" i="14"/>
  <c r="I48" i="14"/>
  <c r="F36" i="14"/>
  <c r="G36" i="14"/>
  <c r="H63" i="14"/>
  <c r="I63" i="14"/>
  <c r="D60" i="14"/>
  <c r="E60" i="14"/>
  <c r="F31" i="14"/>
  <c r="G31" i="14"/>
  <c r="D46" i="14"/>
  <c r="E46" i="14"/>
  <c r="H61" i="14"/>
  <c r="I61" i="14"/>
  <c r="F32" i="14"/>
  <c r="G32" i="14"/>
  <c r="H76" i="14"/>
  <c r="I76" i="14"/>
  <c r="D69" i="14"/>
  <c r="E69" i="14"/>
  <c r="D41" i="14"/>
  <c r="E41" i="14"/>
  <c r="F73" i="14"/>
  <c r="G73" i="14"/>
  <c r="D144" i="14"/>
  <c r="H72" i="14"/>
  <c r="F30" i="14"/>
  <c r="H43" i="14"/>
  <c r="I43" i="14"/>
  <c r="D80" i="14"/>
  <c r="E80" i="14"/>
  <c r="F71" i="14"/>
  <c r="G71" i="14"/>
  <c r="F59" i="14"/>
  <c r="G59" i="14"/>
  <c r="D58" i="14"/>
  <c r="E58" i="14"/>
  <c r="H49" i="14"/>
  <c r="I49" i="14"/>
  <c r="F40" i="14"/>
  <c r="G40" i="14"/>
  <c r="D86" i="14"/>
  <c r="D105" i="14"/>
  <c r="E105" i="14"/>
  <c r="D53" i="14"/>
  <c r="E53" i="14"/>
  <c r="D57" i="14"/>
  <c r="E57" i="14"/>
  <c r="F27" i="9"/>
  <c r="F41" i="14"/>
  <c r="G41" i="14"/>
  <c r="D45" i="14"/>
  <c r="E45" i="14"/>
  <c r="F76" i="14"/>
  <c r="G76" i="14"/>
  <c r="F85" i="14"/>
  <c r="G85" i="14"/>
  <c r="H69" i="14"/>
  <c r="I69" i="14"/>
  <c r="H83" i="14"/>
  <c r="I83" i="14"/>
  <c r="H34" i="14"/>
  <c r="I34" i="14"/>
  <c r="D83" i="14"/>
  <c r="E83" i="14"/>
  <c r="F81" i="14"/>
  <c r="G81" i="14"/>
  <c r="F77" i="14"/>
  <c r="G77" i="14"/>
  <c r="H71" i="14"/>
  <c r="I71" i="14"/>
  <c r="F43" i="14"/>
  <c r="G43" i="14"/>
  <c r="H73" i="14"/>
  <c r="I73" i="14"/>
  <c r="D79" i="14"/>
  <c r="E79" i="14"/>
  <c r="D73" i="14"/>
  <c r="E73" i="14"/>
  <c r="D40" i="14"/>
  <c r="E40" i="14"/>
  <c r="H36" i="14"/>
  <c r="I36" i="14"/>
  <c r="H70" i="14"/>
  <c r="I70" i="14"/>
  <c r="F148" i="14"/>
  <c r="G148" i="14"/>
  <c r="D50" i="14"/>
  <c r="E50" i="14"/>
  <c r="Q79" i="6"/>
  <c r="O79" i="6"/>
  <c r="AA79" i="6"/>
  <c r="E112" i="14"/>
  <c r="G25" i="9"/>
  <c r="G113" i="14"/>
  <c r="I26" i="9"/>
  <c r="G66" i="14"/>
  <c r="I19" i="9"/>
  <c r="S80" i="6"/>
  <c r="D16" i="9"/>
  <c r="AL38" i="6"/>
  <c r="AK38" i="6"/>
  <c r="J28" i="9"/>
  <c r="S63" i="6"/>
  <c r="E38" i="6"/>
  <c r="F38" i="6"/>
  <c r="L79" i="6"/>
  <c r="C111" i="14"/>
  <c r="E24" i="9"/>
  <c r="R42" i="6"/>
  <c r="R38" i="6"/>
  <c r="H22" i="9"/>
  <c r="AD20" i="6"/>
  <c r="Y93" i="6"/>
  <c r="N93" i="6"/>
  <c r="AA93" i="6"/>
  <c r="J93" i="6"/>
  <c r="AE93" i="6"/>
  <c r="L93" i="6"/>
  <c r="I93" i="6"/>
  <c r="X93" i="6"/>
  <c r="AF93" i="6"/>
  <c r="M93" i="6"/>
  <c r="W93" i="6"/>
  <c r="K93" i="6"/>
  <c r="V93" i="6"/>
  <c r="V12" i="3"/>
  <c r="BB12" i="3"/>
  <c r="BA12" i="3"/>
  <c r="AL12" i="3"/>
  <c r="N12" i="3"/>
  <c r="AD12" i="3"/>
  <c r="J12" i="3"/>
  <c r="H23" i="4"/>
  <c r="X12" i="3"/>
  <c r="AJ12" i="3"/>
  <c r="M12" i="3"/>
  <c r="BC12" i="3"/>
  <c r="AK12" i="3"/>
  <c r="G23" i="4"/>
  <c r="R12" i="3"/>
  <c r="S12" i="3"/>
  <c r="P12" i="3"/>
  <c r="AM12" i="3"/>
  <c r="Z12" i="3"/>
  <c r="AR12" i="3"/>
  <c r="W12" i="3"/>
  <c r="AO12" i="3"/>
  <c r="AV12" i="3"/>
  <c r="AU12" i="3"/>
  <c r="AT12" i="3"/>
  <c r="AS12" i="3"/>
  <c r="Q12" i="3"/>
  <c r="AN12" i="3"/>
  <c r="AP12" i="3"/>
  <c r="AW12" i="3"/>
  <c r="AZ12" i="3"/>
  <c r="Y12" i="3"/>
  <c r="S83" i="6"/>
  <c r="M18" i="8"/>
  <c r="M19" i="8"/>
  <c r="Q52" i="6"/>
  <c r="O52" i="6"/>
  <c r="P52" i="6"/>
  <c r="Q33" i="8"/>
  <c r="H64" i="6"/>
  <c r="G64" i="6"/>
  <c r="Q35" i="8"/>
  <c r="R120" i="8"/>
  <c r="T33" i="8"/>
  <c r="W46" i="8"/>
  <c r="T32" i="8"/>
  <c r="R58" i="6"/>
  <c r="AK58" i="6"/>
  <c r="P84" i="8"/>
  <c r="O81" i="8"/>
  <c r="AL58" i="6"/>
  <c r="U20" i="8"/>
  <c r="H73" i="6"/>
  <c r="G73" i="6"/>
  <c r="M73" i="6"/>
  <c r="W73" i="6"/>
  <c r="U19" i="8"/>
  <c r="Q73" i="6"/>
  <c r="O73" i="6"/>
  <c r="P73" i="6"/>
  <c r="Z73" i="6"/>
  <c r="U21" i="8"/>
  <c r="U22" i="8"/>
  <c r="V45" i="8"/>
  <c r="AL73" i="6"/>
  <c r="E73" i="6"/>
  <c r="F73" i="6"/>
  <c r="Q18" i="8"/>
  <c r="Q21" i="8"/>
  <c r="X117" i="8"/>
  <c r="X119" i="8"/>
  <c r="V34" i="8"/>
  <c r="R73" i="6"/>
  <c r="E74" i="6"/>
  <c r="F74" i="6"/>
  <c r="U119" i="8"/>
  <c r="X81" i="8"/>
  <c r="X83" i="8"/>
  <c r="AK84" i="6"/>
  <c r="AL52" i="6"/>
  <c r="O35" i="8"/>
  <c r="E52" i="6"/>
  <c r="F52" i="6"/>
  <c r="O44" i="8"/>
  <c r="O47" i="8"/>
  <c r="O59" i="8"/>
  <c r="O62" i="8"/>
  <c r="S58" i="6"/>
  <c r="S52" i="6"/>
  <c r="M117" i="8"/>
  <c r="M119" i="8"/>
  <c r="Y47" i="6"/>
  <c r="G47" i="6"/>
  <c r="K47" i="6"/>
  <c r="V47" i="6"/>
  <c r="K45" i="8"/>
  <c r="Q49" i="6"/>
  <c r="O49" i="6"/>
  <c r="P49" i="6"/>
  <c r="K48" i="8"/>
  <c r="S37" i="6"/>
  <c r="AL80" i="6"/>
  <c r="AK80" i="6"/>
  <c r="Q80" i="6"/>
  <c r="R80" i="6"/>
  <c r="H46" i="8"/>
  <c r="H48" i="8"/>
  <c r="AK81" i="6"/>
  <c r="J71" i="8"/>
  <c r="H47" i="8"/>
  <c r="AL43" i="6"/>
  <c r="K83" i="8"/>
  <c r="L60" i="8"/>
  <c r="L61" i="8"/>
  <c r="N47" i="6"/>
  <c r="J47" i="6"/>
  <c r="AE47" i="6"/>
  <c r="K46" i="8"/>
  <c r="H49" i="6"/>
  <c r="G49" i="6"/>
  <c r="M49" i="6"/>
  <c r="W49" i="6"/>
  <c r="K47" i="8"/>
  <c r="E47" i="6"/>
  <c r="F47" i="6"/>
  <c r="K118" i="8"/>
  <c r="L97" i="8"/>
  <c r="L32" i="8"/>
  <c r="N34" i="8"/>
  <c r="M34" i="8"/>
  <c r="M32" i="8"/>
  <c r="Q53" i="6"/>
  <c r="O53" i="6"/>
  <c r="P53" i="6"/>
  <c r="AL54" i="6"/>
  <c r="AK52" i="6"/>
  <c r="P95" i="8"/>
  <c r="P97" i="8"/>
  <c r="O19" i="8"/>
  <c r="Q57" i="6"/>
  <c r="O57" i="6"/>
  <c r="P57" i="6"/>
  <c r="P48" i="8"/>
  <c r="O95" i="8"/>
  <c r="O97" i="8"/>
  <c r="R19" i="8"/>
  <c r="R20" i="8"/>
  <c r="U33" i="8"/>
  <c r="H74" i="6"/>
  <c r="G74" i="6"/>
  <c r="U34" i="8"/>
  <c r="S48" i="8"/>
  <c r="S47" i="8"/>
  <c r="S46" i="8"/>
  <c r="H70" i="6"/>
  <c r="L70" i="6"/>
  <c r="S45" i="8"/>
  <c r="Q70" i="6"/>
  <c r="O70" i="6"/>
  <c r="P70" i="6"/>
  <c r="S109" i="8"/>
  <c r="S108" i="8"/>
  <c r="W120" i="8"/>
  <c r="W119" i="8"/>
  <c r="W118" i="8"/>
  <c r="Q34" i="8"/>
  <c r="V32" i="8"/>
  <c r="W47" i="8"/>
  <c r="Q59" i="8"/>
  <c r="T34" i="8"/>
  <c r="AL85" i="6"/>
  <c r="R63" i="6"/>
  <c r="S85" i="6"/>
  <c r="W98" i="8"/>
  <c r="U59" i="8"/>
  <c r="U61" i="8"/>
  <c r="R106" i="8"/>
  <c r="R107" i="8"/>
  <c r="AK75" i="6"/>
  <c r="V18" i="8"/>
  <c r="W96" i="8"/>
  <c r="X59" i="8"/>
  <c r="Q82" i="3"/>
  <c r="AQ82" i="3"/>
  <c r="G31" i="6"/>
  <c r="M31" i="6"/>
  <c r="W31" i="6"/>
  <c r="N31" i="6"/>
  <c r="Y31" i="6"/>
  <c r="L31" i="6"/>
  <c r="Q20" i="8"/>
  <c r="H63" i="6"/>
  <c r="L63" i="6"/>
  <c r="Q22" i="8"/>
  <c r="I18" i="15"/>
  <c r="AM127" i="3"/>
  <c r="AM126" i="3"/>
  <c r="AM123" i="3"/>
  <c r="AM124" i="3"/>
  <c r="AM125" i="3"/>
  <c r="AM157" i="3"/>
  <c r="I105" i="6"/>
  <c r="M105" i="6"/>
  <c r="W105" i="6"/>
  <c r="K105" i="6"/>
  <c r="V105" i="6"/>
  <c r="X105" i="6"/>
  <c r="AF105" i="6"/>
  <c r="B24" i="4"/>
  <c r="J32" i="6"/>
  <c r="AE32" i="6"/>
  <c r="L32" i="6"/>
  <c r="N32" i="6"/>
  <c r="Y32" i="6"/>
  <c r="AM25" i="3"/>
  <c r="AM26" i="3"/>
  <c r="AL26" i="3"/>
  <c r="G32" i="6"/>
  <c r="I22" i="11"/>
  <c r="K22" i="11"/>
  <c r="L22" i="11"/>
  <c r="M22" i="11"/>
  <c r="O19" i="15"/>
  <c r="J19" i="15"/>
  <c r="AF110" i="6"/>
  <c r="X110" i="6"/>
  <c r="K110" i="6"/>
  <c r="V110" i="6"/>
  <c r="I110" i="6"/>
  <c r="I166" i="4"/>
  <c r="AJ160" i="3"/>
  <c r="M160" i="3"/>
  <c r="BC160" i="3"/>
  <c r="Y124" i="3"/>
  <c r="X124" i="3"/>
  <c r="P28" i="2"/>
  <c r="N28" i="2"/>
  <c r="N61" i="2"/>
  <c r="J61" i="2"/>
  <c r="S28" i="2"/>
  <c r="B28" i="2"/>
  <c r="B61" i="2"/>
  <c r="U61" i="2"/>
  <c r="S61" i="2"/>
  <c r="V28" i="2"/>
  <c r="Z28" i="2"/>
  <c r="Y28" i="2"/>
  <c r="Q61" i="2"/>
  <c r="X28" i="2"/>
  <c r="O61" i="2"/>
  <c r="AB28" i="2"/>
  <c r="L61" i="2"/>
  <c r="L28" i="2"/>
  <c r="AL53" i="6"/>
  <c r="E53" i="6"/>
  <c r="F53" i="6"/>
  <c r="R53" i="6"/>
  <c r="O59" i="3"/>
  <c r="L69" i="4"/>
  <c r="P59" i="3"/>
  <c r="T59" i="3"/>
  <c r="S59" i="3"/>
  <c r="U91" i="3"/>
  <c r="U85" i="3"/>
  <c r="AK83" i="3"/>
  <c r="AL82" i="3"/>
  <c r="AM82" i="3"/>
  <c r="R57" i="8"/>
  <c r="R79" i="8"/>
  <c r="X57" i="8"/>
  <c r="X60" i="8"/>
  <c r="X71" i="8"/>
  <c r="X79" i="8"/>
  <c r="X72" i="8"/>
  <c r="X73" i="8"/>
  <c r="E109" i="8"/>
  <c r="E108" i="8"/>
  <c r="E107" i="8"/>
  <c r="AT60" i="3"/>
  <c r="AS60" i="3"/>
  <c r="AI60" i="3"/>
  <c r="L60" i="3"/>
  <c r="J70" i="4"/>
  <c r="AJ60" i="3"/>
  <c r="M60" i="3"/>
  <c r="BC60" i="3"/>
  <c r="AT107" i="3"/>
  <c r="AS107" i="3"/>
  <c r="AJ107" i="3"/>
  <c r="M107" i="3"/>
  <c r="BC107" i="3"/>
  <c r="A116" i="3"/>
  <c r="B123" i="4"/>
  <c r="C123" i="4"/>
  <c r="C151" i="4"/>
  <c r="A145" i="3"/>
  <c r="B151" i="4"/>
  <c r="AJ123" i="3"/>
  <c r="M123" i="3"/>
  <c r="BC123" i="3"/>
  <c r="AS123" i="3"/>
  <c r="E19" i="8"/>
  <c r="Q30" i="6"/>
  <c r="O30" i="6"/>
  <c r="AA30" i="6"/>
  <c r="E21" i="8"/>
  <c r="I101" i="6"/>
  <c r="M101" i="6"/>
  <c r="W101" i="6"/>
  <c r="G90" i="6"/>
  <c r="J90" i="6"/>
  <c r="AE90" i="6"/>
  <c r="L90" i="6"/>
  <c r="AL70" i="6"/>
  <c r="AK70" i="6"/>
  <c r="S70" i="6"/>
  <c r="P61" i="3"/>
  <c r="AQ61" i="3"/>
  <c r="O61" i="3"/>
  <c r="L71" i="4"/>
  <c r="T61" i="3"/>
  <c r="U61" i="3"/>
  <c r="R61" i="3"/>
  <c r="S61" i="3"/>
  <c r="S93" i="3"/>
  <c r="Q93" i="3"/>
  <c r="T93" i="3"/>
  <c r="O93" i="3"/>
  <c r="L101" i="4"/>
  <c r="R93" i="3"/>
  <c r="U93" i="3"/>
  <c r="O76" i="3"/>
  <c r="L84" i="4"/>
  <c r="K84" i="4"/>
  <c r="K71" i="8"/>
  <c r="K73" i="8"/>
  <c r="F84" i="8"/>
  <c r="F77" i="8"/>
  <c r="I18" i="11"/>
  <c r="J18" i="11"/>
  <c r="R74" i="6"/>
  <c r="AK74" i="6"/>
  <c r="AL74" i="6"/>
  <c r="AL48" i="6"/>
  <c r="S48" i="6"/>
  <c r="AK48" i="6"/>
  <c r="AK43" i="6"/>
  <c r="S43" i="6"/>
  <c r="R43" i="6"/>
  <c r="E30" i="6"/>
  <c r="F30" i="6"/>
  <c r="AL30" i="6"/>
  <c r="D21" i="8"/>
  <c r="D19" i="8"/>
  <c r="I22" i="15"/>
  <c r="J22" i="15"/>
  <c r="C49" i="4"/>
  <c r="A39" i="3"/>
  <c r="B49" i="4"/>
  <c r="AJ51" i="3"/>
  <c r="M51" i="3"/>
  <c r="BC51" i="3"/>
  <c r="AI51" i="3"/>
  <c r="L51" i="3"/>
  <c r="J61" i="4"/>
  <c r="AJ59" i="3"/>
  <c r="M59" i="3"/>
  <c r="BC59" i="3"/>
  <c r="AI59" i="3"/>
  <c r="L59" i="3"/>
  <c r="J69" i="4"/>
  <c r="C73" i="4"/>
  <c r="A64" i="3"/>
  <c r="B73" i="4"/>
  <c r="A102" i="3"/>
  <c r="B110" i="4"/>
  <c r="C110" i="4"/>
  <c r="A106" i="3"/>
  <c r="B115" i="4"/>
  <c r="C115" i="4"/>
  <c r="E116" i="14"/>
  <c r="G29" i="9"/>
  <c r="F29" i="9"/>
  <c r="J112" i="6"/>
  <c r="AE112" i="6"/>
  <c r="G112" i="6"/>
  <c r="N112" i="6"/>
  <c r="L112" i="6"/>
  <c r="AA89" i="6"/>
  <c r="Z89" i="6"/>
  <c r="F127" i="8"/>
  <c r="Y127" i="8"/>
  <c r="F134" i="8"/>
  <c r="AK65" i="6"/>
  <c r="S65" i="6"/>
  <c r="S59" i="6"/>
  <c r="R59" i="6"/>
  <c r="T37" i="3"/>
  <c r="R37" i="3"/>
  <c r="S37" i="3"/>
  <c r="P37" i="3"/>
  <c r="AQ37" i="3"/>
  <c r="U37" i="3"/>
  <c r="T46" i="3"/>
  <c r="U46" i="3"/>
  <c r="S46" i="3"/>
  <c r="K56" i="4"/>
  <c r="Q46" i="3"/>
  <c r="O109" i="3"/>
  <c r="L117" i="4"/>
  <c r="K117" i="4"/>
  <c r="T109" i="3"/>
  <c r="U109" i="3"/>
  <c r="T115" i="3"/>
  <c r="U115" i="3"/>
  <c r="O115" i="3"/>
  <c r="L124" i="4"/>
  <c r="Q115" i="3"/>
  <c r="K124" i="4"/>
  <c r="P112" i="6"/>
  <c r="Z112" i="6"/>
  <c r="Q112" i="6"/>
  <c r="AA112" i="6"/>
  <c r="Y22" i="6"/>
  <c r="L22" i="6"/>
  <c r="J22" i="6"/>
  <c r="AE22" i="6"/>
  <c r="N22" i="6"/>
  <c r="Y24" i="6"/>
  <c r="J24" i="6"/>
  <c r="AE24" i="6"/>
  <c r="AD45" i="3"/>
  <c r="U45" i="3"/>
  <c r="AI18" i="3"/>
  <c r="L18" i="3"/>
  <c r="P21" i="3"/>
  <c r="T21" i="3"/>
  <c r="U21" i="3"/>
  <c r="X62" i="8"/>
  <c r="W84" i="8"/>
  <c r="Q77" i="8"/>
  <c r="Q83" i="8"/>
  <c r="E84" i="8"/>
  <c r="E83" i="8"/>
  <c r="S91" i="8"/>
  <c r="S97" i="8"/>
  <c r="S98" i="8"/>
  <c r="V48" i="8"/>
  <c r="M35" i="8"/>
  <c r="U35" i="8"/>
  <c r="AQ92" i="3"/>
  <c r="AL122" i="3"/>
  <c r="K87" i="4"/>
  <c r="A118" i="3"/>
  <c r="B125" i="4"/>
  <c r="Q14" i="3"/>
  <c r="Q55" i="3"/>
  <c r="C101" i="4"/>
  <c r="AI108" i="3"/>
  <c r="L108" i="3"/>
  <c r="J116" i="4"/>
  <c r="C155" i="4"/>
  <c r="AQ89" i="3"/>
  <c r="U59" i="3"/>
  <c r="Q11" i="3"/>
  <c r="L40" i="2"/>
  <c r="R61" i="2"/>
  <c r="F33" i="2"/>
  <c r="W66" i="2"/>
  <c r="L32" i="18"/>
  <c r="AK53" i="6"/>
  <c r="N79" i="6"/>
  <c r="L19" i="15"/>
  <c r="M19" i="15"/>
  <c r="J22" i="11"/>
  <c r="K30" i="10"/>
  <c r="M30" i="10"/>
  <c r="C24" i="4"/>
  <c r="AJ52" i="3"/>
  <c r="M52" i="3"/>
  <c r="BC52" i="3"/>
  <c r="AK88" i="3"/>
  <c r="E28" i="13"/>
  <c r="Y13" i="8"/>
  <c r="X44" i="8"/>
  <c r="X47" i="8"/>
  <c r="E98" i="8"/>
  <c r="V47" i="8"/>
  <c r="AQ36" i="3"/>
  <c r="M33" i="8"/>
  <c r="H53" i="6"/>
  <c r="N53" i="6"/>
  <c r="U32" i="8"/>
  <c r="Q74" i="6"/>
  <c r="O74" i="6"/>
  <c r="AA74" i="6"/>
  <c r="K23" i="4"/>
  <c r="C74" i="4"/>
  <c r="C90" i="4"/>
  <c r="AQ56" i="3"/>
  <c r="AQ124" i="3"/>
  <c r="AQ87" i="3"/>
  <c r="P79" i="3"/>
  <c r="AQ79" i="3"/>
  <c r="Q68" i="3"/>
  <c r="AQ51" i="3"/>
  <c r="S85" i="3"/>
  <c r="AK67" i="3"/>
  <c r="AL127" i="3"/>
  <c r="AL124" i="3"/>
  <c r="AL28" i="3"/>
  <c r="AL29" i="3"/>
  <c r="U9" i="3"/>
  <c r="AL125" i="3"/>
  <c r="C50" i="4"/>
  <c r="J19" i="11"/>
  <c r="B35" i="14"/>
  <c r="C35" i="14"/>
  <c r="Y79" i="6"/>
  <c r="B41" i="14"/>
  <c r="C41" i="14"/>
  <c r="B72" i="14"/>
  <c r="B76" i="14"/>
  <c r="C76" i="14"/>
  <c r="B69" i="14"/>
  <c r="C69" i="14"/>
  <c r="B45" i="14"/>
  <c r="C45" i="14"/>
  <c r="B46" i="14"/>
  <c r="C46" i="14"/>
  <c r="B40" i="14"/>
  <c r="C40" i="14"/>
  <c r="B31" i="14"/>
  <c r="C31" i="14"/>
  <c r="B63" i="14"/>
  <c r="C63" i="14"/>
  <c r="B82" i="14"/>
  <c r="C82" i="14"/>
  <c r="D25" i="9"/>
  <c r="AR19" i="3"/>
  <c r="AI123" i="3"/>
  <c r="L123" i="3"/>
  <c r="J130" i="4"/>
  <c r="A53" i="3"/>
  <c r="B63" i="4"/>
  <c r="A80" i="3"/>
  <c r="B88" i="4"/>
  <c r="O81" i="3"/>
  <c r="L89" i="4"/>
  <c r="Q162" i="3"/>
  <c r="T81" i="3"/>
  <c r="U81" i="3"/>
  <c r="K129" i="4"/>
  <c r="K69" i="4"/>
  <c r="AI52" i="3"/>
  <c r="L52" i="3"/>
  <c r="J62" i="4"/>
  <c r="A143" i="3"/>
  <c r="B149" i="4"/>
  <c r="D29" i="4"/>
  <c r="Q107" i="3"/>
  <c r="BC131" i="3"/>
  <c r="Y39" i="2"/>
  <c r="O28" i="2"/>
  <c r="W28" i="2"/>
  <c r="R28" i="2"/>
  <c r="M61" i="2"/>
  <c r="B42" i="14"/>
  <c r="C42" i="14"/>
  <c r="G79" i="6"/>
  <c r="G133" i="8"/>
  <c r="R70" i="6"/>
  <c r="O22" i="11"/>
  <c r="J89" i="6"/>
  <c r="AE89" i="6"/>
  <c r="X101" i="6"/>
  <c r="K28" i="10"/>
  <c r="K26" i="10"/>
  <c r="A36" i="3"/>
  <c r="AK37" i="3"/>
  <c r="AK50" i="3"/>
  <c r="AK55" i="3"/>
  <c r="AK56" i="3"/>
  <c r="AK57" i="3"/>
  <c r="AQ76" i="3"/>
  <c r="P81" i="3"/>
  <c r="AQ81" i="3"/>
  <c r="AI39" i="3"/>
  <c r="L39" i="3"/>
  <c r="J49" i="4"/>
  <c r="AI45" i="3"/>
  <c r="L45" i="3"/>
  <c r="J55" i="4"/>
  <c r="W18" i="8"/>
  <c r="W19" i="8"/>
  <c r="S18" i="8"/>
  <c r="S21" i="8"/>
  <c r="D26" i="6"/>
  <c r="D66" i="4"/>
  <c r="P91" i="8"/>
  <c r="AT51" i="3"/>
  <c r="AS51" i="3"/>
  <c r="F31" i="2"/>
  <c r="G40" i="2"/>
  <c r="F64" i="2"/>
  <c r="Y40" i="2"/>
  <c r="F66" i="2"/>
  <c r="N20" i="10"/>
  <c r="L27" i="10"/>
  <c r="N18" i="10"/>
  <c r="L30" i="10"/>
  <c r="N30" i="10"/>
  <c r="AT58" i="3"/>
  <c r="AS58" i="3"/>
  <c r="AI58" i="3"/>
  <c r="L58" i="3"/>
  <c r="J68" i="4"/>
  <c r="AJ58" i="3"/>
  <c r="M58" i="3"/>
  <c r="BC58" i="3"/>
  <c r="BB108" i="3"/>
  <c r="BA104" i="3"/>
  <c r="I116" i="4"/>
  <c r="AL112" i="3"/>
  <c r="AM112" i="3"/>
  <c r="AT118" i="3"/>
  <c r="AS118" i="3"/>
  <c r="J118" i="3"/>
  <c r="H125" i="4"/>
  <c r="N118" i="3"/>
  <c r="AT145" i="3"/>
  <c r="AS145" i="3"/>
  <c r="AI145" i="3"/>
  <c r="L145" i="3"/>
  <c r="J151" i="4"/>
  <c r="O8" i="3"/>
  <c r="L19" i="4"/>
  <c r="R8" i="3"/>
  <c r="S8" i="3"/>
  <c r="O160" i="3"/>
  <c r="L166" i="4"/>
  <c r="L167" i="4"/>
  <c r="Z160" i="3"/>
  <c r="AR161" i="3"/>
  <c r="AZ29" i="3"/>
  <c r="AQ29" i="3"/>
  <c r="AQ28" i="3"/>
  <c r="G111" i="14"/>
  <c r="I24" i="9"/>
  <c r="H24" i="9"/>
  <c r="G89" i="6"/>
  <c r="Y89" i="6"/>
  <c r="O50" i="3"/>
  <c r="L60" i="4"/>
  <c r="T50" i="3"/>
  <c r="U50" i="3"/>
  <c r="K60" i="4"/>
  <c r="P50" i="3"/>
  <c r="AQ50" i="3"/>
  <c r="O71" i="8"/>
  <c r="O79" i="8"/>
  <c r="O82" i="8"/>
  <c r="O57" i="8"/>
  <c r="F71" i="8"/>
  <c r="F73" i="8"/>
  <c r="F72" i="8"/>
  <c r="P108" i="8"/>
  <c r="P109" i="8"/>
  <c r="I94" i="6"/>
  <c r="A63" i="3"/>
  <c r="B72" i="4"/>
  <c r="C72" i="4"/>
  <c r="C144" i="4"/>
  <c r="A137" i="3"/>
  <c r="B144" i="4"/>
  <c r="C154" i="4"/>
  <c r="A148" i="3"/>
  <c r="B154" i="4"/>
  <c r="G114" i="14"/>
  <c r="I27" i="9"/>
  <c r="H27" i="9"/>
  <c r="E47" i="8"/>
  <c r="E48" i="8"/>
  <c r="J105" i="6"/>
  <c r="AE105" i="6"/>
  <c r="Y105" i="6"/>
  <c r="B49" i="14"/>
  <c r="C49" i="14"/>
  <c r="B77" i="14"/>
  <c r="C77" i="14"/>
  <c r="B58" i="14"/>
  <c r="C58" i="14"/>
  <c r="B33" i="14"/>
  <c r="C33" i="14"/>
  <c r="B68" i="14"/>
  <c r="C68" i="14"/>
  <c r="B147" i="14"/>
  <c r="C147" i="14"/>
  <c r="B43" i="14"/>
  <c r="C43" i="14"/>
  <c r="B86" i="14"/>
  <c r="B94" i="14"/>
  <c r="C94" i="14"/>
  <c r="B36" i="14"/>
  <c r="C36" i="14"/>
  <c r="T114" i="3"/>
  <c r="U114" i="3"/>
  <c r="K122" i="4"/>
  <c r="O114" i="3"/>
  <c r="L122" i="4"/>
  <c r="Q114" i="3"/>
  <c r="T122" i="3"/>
  <c r="U122" i="3"/>
  <c r="W79" i="8"/>
  <c r="W82" i="8"/>
  <c r="W57" i="8"/>
  <c r="W71" i="8"/>
  <c r="O72" i="8"/>
  <c r="O73" i="8"/>
  <c r="E91" i="8"/>
  <c r="C90" i="8"/>
  <c r="W108" i="8"/>
  <c r="W107" i="8"/>
  <c r="W109" i="8"/>
  <c r="R160" i="3"/>
  <c r="S161" i="3"/>
  <c r="S160" i="3"/>
  <c r="K115" i="6"/>
  <c r="V115" i="6"/>
  <c r="M115" i="6"/>
  <c r="W115" i="6"/>
  <c r="AF115" i="6"/>
  <c r="I115" i="6"/>
  <c r="S49" i="6"/>
  <c r="AL49" i="6"/>
  <c r="U18" i="6"/>
  <c r="AD18" i="6"/>
  <c r="I20" i="11"/>
  <c r="J20" i="11"/>
  <c r="D31" i="13"/>
  <c r="E31" i="13"/>
  <c r="AJ48" i="3"/>
  <c r="M48" i="3"/>
  <c r="BC48" i="3"/>
  <c r="AI48" i="3"/>
  <c r="L48" i="3"/>
  <c r="J58" i="4"/>
  <c r="AT78" i="3"/>
  <c r="AS78" i="3"/>
  <c r="AJ78" i="3"/>
  <c r="M78" i="3"/>
  <c r="BC78" i="3"/>
  <c r="AI78" i="3"/>
  <c r="L78" i="3"/>
  <c r="J86" i="4"/>
  <c r="V106" i="3"/>
  <c r="V109" i="3"/>
  <c r="AT112" i="3"/>
  <c r="AS112" i="3"/>
  <c r="Z110" i="3"/>
  <c r="AR110" i="3"/>
  <c r="AJ112" i="3"/>
  <c r="AC112" i="3"/>
  <c r="AD112" i="3"/>
  <c r="AT150" i="3"/>
  <c r="AS150" i="3"/>
  <c r="E150" i="3"/>
  <c r="G156" i="4"/>
  <c r="L150" i="3"/>
  <c r="J156" i="4"/>
  <c r="P97" i="3"/>
  <c r="O97" i="3"/>
  <c r="L105" i="4"/>
  <c r="K105" i="4"/>
  <c r="D134" i="8"/>
  <c r="D132" i="8"/>
  <c r="K58" i="4"/>
  <c r="P48" i="3"/>
  <c r="R48" i="3"/>
  <c r="S48" i="3"/>
  <c r="U48" i="3"/>
  <c r="O56" i="3"/>
  <c r="L66" i="4"/>
  <c r="U56" i="3"/>
  <c r="S56" i="3"/>
  <c r="Q56" i="3"/>
  <c r="AD56" i="3"/>
  <c r="S168" i="3"/>
  <c r="Q168" i="3"/>
  <c r="O168" i="3"/>
  <c r="L174" i="4"/>
  <c r="T168" i="3"/>
  <c r="R168" i="3"/>
  <c r="P24" i="3"/>
  <c r="O24" i="3"/>
  <c r="I84" i="4"/>
  <c r="AJ76" i="3"/>
  <c r="M76" i="3"/>
  <c r="BC76" i="3"/>
  <c r="O120" i="8"/>
  <c r="O119" i="8"/>
  <c r="R71" i="8"/>
  <c r="R73" i="8"/>
  <c r="O83" i="8"/>
  <c r="O84" i="8"/>
  <c r="D93" i="8"/>
  <c r="D96" i="8"/>
  <c r="D107" i="8"/>
  <c r="D115" i="8"/>
  <c r="D118" i="8"/>
  <c r="G115" i="8"/>
  <c r="G118" i="8"/>
  <c r="G93" i="8"/>
  <c r="P115" i="8"/>
  <c r="P118" i="8"/>
  <c r="P93" i="8"/>
  <c r="S107" i="8"/>
  <c r="S93" i="8"/>
  <c r="S96" i="8"/>
  <c r="S115" i="8"/>
  <c r="S118" i="8"/>
  <c r="E119" i="8"/>
  <c r="E118" i="8"/>
  <c r="BA160" i="3"/>
  <c r="AQ78" i="3"/>
  <c r="T12" i="3"/>
  <c r="U12" i="3"/>
  <c r="AR162" i="3"/>
  <c r="R79" i="3"/>
  <c r="S79" i="3"/>
  <c r="Q9" i="3"/>
  <c r="O12" i="3"/>
  <c r="L23" i="4"/>
  <c r="AQ41" i="3"/>
  <c r="S50" i="3"/>
  <c r="BB104" i="3"/>
  <c r="BB112" i="3"/>
  <c r="M118" i="3"/>
  <c r="BC118" i="3"/>
  <c r="AJ150" i="3"/>
  <c r="M150" i="3"/>
  <c r="BC150" i="3"/>
  <c r="AQ49" i="3"/>
  <c r="BB105" i="3"/>
  <c r="P61" i="2"/>
  <c r="T61" i="2"/>
  <c r="M110" i="6"/>
  <c r="W110" i="6"/>
  <c r="AC118" i="3"/>
  <c r="AD118" i="3"/>
  <c r="M46" i="8"/>
  <c r="H54" i="6"/>
  <c r="L54" i="6"/>
  <c r="M45" i="8"/>
  <c r="Q54" i="6"/>
  <c r="O54" i="6"/>
  <c r="P54" i="6"/>
  <c r="AQ149" i="3"/>
  <c r="AQ121" i="3"/>
  <c r="O79" i="3"/>
  <c r="L87" i="4"/>
  <c r="T79" i="3"/>
  <c r="U79" i="3"/>
  <c r="Q8" i="3"/>
  <c r="AQ127" i="3"/>
  <c r="X32" i="8"/>
  <c r="W33" i="8"/>
  <c r="K19" i="11"/>
  <c r="L19" i="11"/>
  <c r="M19" i="11"/>
  <c r="B78" i="14"/>
  <c r="C78" i="14"/>
  <c r="B51" i="14"/>
  <c r="C51" i="14"/>
  <c r="B44" i="14"/>
  <c r="C44" i="14"/>
  <c r="B66" i="14"/>
  <c r="B75" i="14"/>
  <c r="C75" i="14"/>
  <c r="B84" i="14"/>
  <c r="C84" i="14"/>
  <c r="B79" i="14"/>
  <c r="C79" i="14"/>
  <c r="B53" i="14"/>
  <c r="C53" i="14"/>
  <c r="B70" i="14"/>
  <c r="C70" i="14"/>
  <c r="B32" i="14"/>
  <c r="C32" i="14"/>
  <c r="B64" i="14"/>
  <c r="C64" i="14"/>
  <c r="B55" i="14"/>
  <c r="C55" i="14"/>
  <c r="J26" i="9"/>
  <c r="B74" i="14"/>
  <c r="C74" i="14"/>
  <c r="AJ124" i="3"/>
  <c r="M124" i="3"/>
  <c r="BC124" i="3"/>
  <c r="A43" i="3"/>
  <c r="B52" i="4"/>
  <c r="C58" i="4"/>
  <c r="AQ17" i="3"/>
  <c r="P122" i="3"/>
  <c r="M112" i="3"/>
  <c r="BC112" i="3"/>
  <c r="C106" i="4"/>
  <c r="K19" i="4"/>
  <c r="AQ150" i="3"/>
  <c r="R114" i="3"/>
  <c r="S114" i="3"/>
  <c r="AR118" i="3"/>
  <c r="R122" i="3"/>
  <c r="S122" i="3"/>
  <c r="AI118" i="3"/>
  <c r="L118" i="3"/>
  <c r="J125" i="4"/>
  <c r="G125" i="4"/>
  <c r="Q61" i="3"/>
  <c r="AI107" i="3"/>
  <c r="L107" i="3"/>
  <c r="J114" i="4"/>
  <c r="K101" i="4"/>
  <c r="M28" i="2"/>
  <c r="I28" i="2"/>
  <c r="Q28" i="2"/>
  <c r="U28" i="2"/>
  <c r="E20" i="8"/>
  <c r="H30" i="6"/>
  <c r="G134" i="8"/>
  <c r="O133" i="8"/>
  <c r="E45" i="8"/>
  <c r="Q32" i="6"/>
  <c r="O32" i="6"/>
  <c r="P32" i="6"/>
  <c r="O20" i="11"/>
  <c r="C126" i="8"/>
  <c r="Y90" i="6"/>
  <c r="B83" i="14"/>
  <c r="C83" i="14"/>
  <c r="L105" i="6"/>
  <c r="K27" i="10"/>
  <c r="H20" i="15"/>
  <c r="K20" i="15"/>
  <c r="L44" i="3"/>
  <c r="J54" i="4"/>
  <c r="U132" i="8"/>
  <c r="F83" i="8"/>
  <c r="S70" i="8"/>
  <c r="V118" i="8"/>
  <c r="AL118" i="3"/>
  <c r="AM118" i="3"/>
  <c r="AK118" i="3"/>
  <c r="N73" i="8"/>
  <c r="N71" i="8"/>
  <c r="N72" i="8"/>
  <c r="H55" i="8"/>
  <c r="Y55" i="8"/>
  <c r="C54" i="8"/>
  <c r="S61" i="8"/>
  <c r="E79" i="8"/>
  <c r="E82" i="8"/>
  <c r="E71" i="8"/>
  <c r="E57" i="8"/>
  <c r="E60" i="8"/>
  <c r="D83" i="8"/>
  <c r="D84" i="8"/>
  <c r="AT124" i="3"/>
  <c r="AS124" i="3"/>
  <c r="X18" i="8"/>
  <c r="X21" i="8"/>
  <c r="T18" i="8"/>
  <c r="T19" i="8"/>
  <c r="S31" i="8"/>
  <c r="S34" i="8"/>
  <c r="J134" i="8"/>
  <c r="AK22" i="3"/>
  <c r="N84" i="8"/>
  <c r="V81" i="8"/>
  <c r="V83" i="8"/>
  <c r="R97" i="8"/>
  <c r="AC160" i="3"/>
  <c r="AD161" i="3"/>
  <c r="AD160" i="3"/>
  <c r="T118" i="8"/>
  <c r="E62" i="8"/>
  <c r="E61" i="8"/>
  <c r="D57" i="8"/>
  <c r="D60" i="8"/>
  <c r="D79" i="8"/>
  <c r="D82" i="8"/>
  <c r="P57" i="8"/>
  <c r="P60" i="8"/>
  <c r="P79" i="8"/>
  <c r="P82" i="8"/>
  <c r="D72" i="8"/>
  <c r="D73" i="8"/>
  <c r="F97" i="8"/>
  <c r="F98" i="8"/>
  <c r="O108" i="8"/>
  <c r="O109" i="8"/>
  <c r="O107" i="8"/>
  <c r="H115" i="8"/>
  <c r="H93" i="8"/>
  <c r="H96" i="8"/>
  <c r="AJ37" i="3"/>
  <c r="M37" i="3"/>
  <c r="BC37" i="3"/>
  <c r="AJ40" i="3"/>
  <c r="M40" i="3"/>
  <c r="BC40" i="3"/>
  <c r="AJ41" i="3"/>
  <c r="M41" i="3"/>
  <c r="BC41" i="3"/>
  <c r="AI50" i="3"/>
  <c r="L50" i="3"/>
  <c r="J60" i="4"/>
  <c r="AJ88" i="3"/>
  <c r="M88" i="3"/>
  <c r="BC88" i="3"/>
  <c r="AT108" i="3"/>
  <c r="AS108" i="3"/>
  <c r="AC124" i="3"/>
  <c r="AD124" i="3"/>
  <c r="Q44" i="8"/>
  <c r="Q45" i="8"/>
  <c r="Q65" i="6"/>
  <c r="O65" i="6"/>
  <c r="P65" i="6"/>
  <c r="U60" i="8"/>
  <c r="M57" i="8"/>
  <c r="E96" i="8"/>
  <c r="Q100" i="6"/>
  <c r="AA100" i="6"/>
  <c r="P100" i="6"/>
  <c r="Z100" i="6"/>
  <c r="T82" i="8"/>
  <c r="T83" i="8"/>
  <c r="X115" i="8"/>
  <c r="X93" i="8"/>
  <c r="X96" i="8"/>
  <c r="Z93" i="6"/>
  <c r="S20" i="3"/>
  <c r="AK14" i="3"/>
  <c r="R59" i="8"/>
  <c r="R62" i="8"/>
  <c r="V59" i="8"/>
  <c r="V62" i="8"/>
  <c r="M81" i="8"/>
  <c r="M84" i="8"/>
  <c r="Q95" i="8"/>
  <c r="Q98" i="8"/>
  <c r="U95" i="8"/>
  <c r="U97" i="8"/>
  <c r="V106" i="8"/>
  <c r="V109" i="8"/>
  <c r="F120" i="8"/>
  <c r="AT76" i="3"/>
  <c r="AS76" i="3"/>
  <c r="N57" i="8"/>
  <c r="N60" i="8"/>
  <c r="N79" i="8"/>
  <c r="V57" i="8"/>
  <c r="V79" i="8"/>
  <c r="E77" i="8"/>
  <c r="C76" i="8"/>
  <c r="X97" i="8"/>
  <c r="AT160" i="3"/>
  <c r="AS160" i="3"/>
  <c r="N18" i="8"/>
  <c r="N19" i="8"/>
  <c r="N44" i="8"/>
  <c r="N46" i="8"/>
  <c r="S134" i="8"/>
  <c r="M83" i="3"/>
  <c r="BC83" i="3"/>
  <c r="AT10" i="3"/>
  <c r="AS10" i="3"/>
  <c r="N117" i="8"/>
  <c r="M59" i="8"/>
  <c r="T70" i="8"/>
  <c r="Q70" i="8"/>
  <c r="Q72" i="8"/>
  <c r="I84" i="8"/>
  <c r="X106" i="8"/>
  <c r="X108" i="8"/>
  <c r="N107" i="8"/>
  <c r="S81" i="8"/>
  <c r="S84" i="8"/>
  <c r="M106" i="8"/>
  <c r="M108" i="8"/>
  <c r="Q106" i="8"/>
  <c r="Q109" i="8"/>
  <c r="U106" i="8"/>
  <c r="U107" i="8"/>
  <c r="Q117" i="8"/>
  <c r="Q119" i="8"/>
  <c r="Z47" i="6"/>
  <c r="S22" i="8"/>
  <c r="S20" i="8"/>
  <c r="H68" i="6"/>
  <c r="U47" i="8"/>
  <c r="U46" i="8"/>
  <c r="H75" i="6"/>
  <c r="R35" i="8"/>
  <c r="R34" i="8"/>
  <c r="R32" i="8"/>
  <c r="R33" i="8"/>
  <c r="T47" i="8"/>
  <c r="T48" i="8"/>
  <c r="W132" i="8"/>
  <c r="W133" i="8"/>
  <c r="W134" i="8"/>
  <c r="V82" i="8"/>
  <c r="R133" i="8"/>
  <c r="R134" i="8"/>
  <c r="R132" i="8"/>
  <c r="X134" i="8"/>
  <c r="X132" i="8"/>
  <c r="X133" i="8"/>
  <c r="T133" i="8"/>
  <c r="T132" i="8"/>
  <c r="T134" i="8"/>
  <c r="U72" i="8"/>
  <c r="U71" i="8"/>
  <c r="U73" i="8"/>
  <c r="Y70" i="6"/>
  <c r="V134" i="8"/>
  <c r="V132" i="8"/>
  <c r="V133" i="8"/>
  <c r="V61" i="8"/>
  <c r="R47" i="8"/>
  <c r="X33" i="8"/>
  <c r="U134" i="8"/>
  <c r="R69" i="6"/>
  <c r="S132" i="8"/>
  <c r="R98" i="8"/>
  <c r="T61" i="8"/>
  <c r="T84" i="8"/>
  <c r="V73" i="8"/>
  <c r="V96" i="8"/>
  <c r="X34" i="8"/>
  <c r="R46" i="8"/>
  <c r="W34" i="8"/>
  <c r="E63" i="6"/>
  <c r="F63" i="6"/>
  <c r="AK69" i="6"/>
  <c r="AK63" i="6"/>
  <c r="AL65" i="6"/>
  <c r="R118" i="8"/>
  <c r="U82" i="8"/>
  <c r="V72" i="8"/>
  <c r="V120" i="8"/>
  <c r="X84" i="8"/>
  <c r="X61" i="8"/>
  <c r="X98" i="8"/>
  <c r="R96" i="8"/>
  <c r="Q19" i="8"/>
  <c r="Q63" i="6"/>
  <c r="O63" i="6"/>
  <c r="P63" i="6"/>
  <c r="W32" i="8"/>
  <c r="W48" i="8"/>
  <c r="S133" i="8"/>
  <c r="T62" i="8"/>
  <c r="T120" i="8"/>
  <c r="V98" i="8"/>
  <c r="R72" i="8"/>
  <c r="W83" i="8"/>
  <c r="Q32" i="8"/>
  <c r="Q64" i="6"/>
  <c r="O64" i="6"/>
  <c r="P64" i="6"/>
  <c r="V35" i="8"/>
  <c r="E69" i="6"/>
  <c r="F69" i="6"/>
  <c r="R65" i="6"/>
  <c r="AL69" i="6"/>
  <c r="U84" i="8"/>
  <c r="W60" i="8"/>
  <c r="S120" i="8"/>
  <c r="P132" i="8"/>
  <c r="P134" i="8"/>
  <c r="P133" i="8"/>
  <c r="Q84" i="6"/>
  <c r="P35" i="8"/>
  <c r="P34" i="8"/>
  <c r="P32" i="8"/>
  <c r="P33" i="8"/>
  <c r="N97" i="8"/>
  <c r="N98" i="8"/>
  <c r="N96" i="8"/>
  <c r="J84" i="6"/>
  <c r="AE84" i="6"/>
  <c r="G84" i="6"/>
  <c r="L84" i="6"/>
  <c r="N84" i="6"/>
  <c r="Y84" i="6"/>
  <c r="N62" i="8"/>
  <c r="N61" i="8"/>
  <c r="M98" i="8"/>
  <c r="M96" i="8"/>
  <c r="M97" i="8"/>
  <c r="N134" i="8"/>
  <c r="N133" i="8"/>
  <c r="N132" i="8"/>
  <c r="Q133" i="8"/>
  <c r="Q132" i="8"/>
  <c r="H85" i="6"/>
  <c r="Q134" i="8"/>
  <c r="M61" i="8"/>
  <c r="M71" i="8"/>
  <c r="M72" i="8"/>
  <c r="M73" i="8"/>
  <c r="O33" i="8"/>
  <c r="H58" i="6"/>
  <c r="R83" i="6"/>
  <c r="O34" i="8"/>
  <c r="E59" i="6"/>
  <c r="F59" i="6"/>
  <c r="P107" i="8"/>
  <c r="M120" i="8"/>
  <c r="M48" i="8"/>
  <c r="P45" i="8"/>
  <c r="O21" i="8"/>
  <c r="AL57" i="6"/>
  <c r="E84" i="6"/>
  <c r="F84" i="6"/>
  <c r="O134" i="8"/>
  <c r="AL59" i="6"/>
  <c r="E57" i="6"/>
  <c r="F57" i="6"/>
  <c r="P120" i="8"/>
  <c r="N108" i="8"/>
  <c r="AK83" i="6"/>
  <c r="AL83" i="6"/>
  <c r="AK57" i="6"/>
  <c r="P47" i="8"/>
  <c r="AK59" i="6"/>
  <c r="S54" i="6"/>
  <c r="AK54" i="6"/>
  <c r="R57" i="6"/>
  <c r="R54" i="6"/>
  <c r="S84" i="6"/>
  <c r="R84" i="6"/>
  <c r="P73" i="8"/>
  <c r="P61" i="8"/>
  <c r="P71" i="8"/>
  <c r="M132" i="8"/>
  <c r="H83" i="6"/>
  <c r="M134" i="8"/>
  <c r="M133" i="8"/>
  <c r="L19" i="8"/>
  <c r="L20" i="8"/>
  <c r="L21" i="8"/>
  <c r="L22" i="8"/>
  <c r="L132" i="8"/>
  <c r="L134" i="8"/>
  <c r="L133" i="8"/>
  <c r="K61" i="8"/>
  <c r="K62" i="8"/>
  <c r="K60" i="8"/>
  <c r="K97" i="8"/>
  <c r="K96" i="8"/>
  <c r="K98" i="8"/>
  <c r="L73" i="8"/>
  <c r="L71" i="8"/>
  <c r="L72" i="8"/>
  <c r="L109" i="8"/>
  <c r="L107" i="8"/>
  <c r="L108" i="8"/>
  <c r="L120" i="8"/>
  <c r="L118" i="8"/>
  <c r="L119" i="8"/>
  <c r="K34" i="8"/>
  <c r="K35" i="8"/>
  <c r="K33" i="8"/>
  <c r="H48" i="6"/>
  <c r="K32" i="8"/>
  <c r="Q48" i="6"/>
  <c r="O48" i="6"/>
  <c r="P48" i="6"/>
  <c r="L46" i="8"/>
  <c r="L47" i="8"/>
  <c r="L48" i="8"/>
  <c r="L45" i="8"/>
  <c r="L83" i="8"/>
  <c r="L82" i="8"/>
  <c r="L84" i="8"/>
  <c r="K108" i="8"/>
  <c r="K109" i="8"/>
  <c r="K107" i="8"/>
  <c r="L35" i="8"/>
  <c r="K84" i="8"/>
  <c r="K72" i="8"/>
  <c r="AL47" i="6"/>
  <c r="L34" i="8"/>
  <c r="R47" i="6"/>
  <c r="K119" i="8"/>
  <c r="L98" i="8"/>
  <c r="L62" i="8"/>
  <c r="L47" i="6"/>
  <c r="J49" i="6"/>
  <c r="AE49" i="6"/>
  <c r="AK47" i="6"/>
  <c r="J35" i="8"/>
  <c r="J32" i="8"/>
  <c r="I96" i="8"/>
  <c r="I97" i="8"/>
  <c r="I98" i="8"/>
  <c r="J118" i="8"/>
  <c r="J119" i="8"/>
  <c r="J120" i="8"/>
  <c r="G32" i="8"/>
  <c r="Q37" i="6"/>
  <c r="O37" i="6"/>
  <c r="P37" i="6"/>
  <c r="G35" i="8"/>
  <c r="S81" i="6"/>
  <c r="AL81" i="6"/>
  <c r="Q82" i="6"/>
  <c r="R36" i="6"/>
  <c r="E82" i="6"/>
  <c r="F82" i="6"/>
  <c r="E81" i="6"/>
  <c r="F81" i="6"/>
  <c r="I83" i="8"/>
  <c r="J46" i="8"/>
  <c r="AK82" i="6"/>
  <c r="R82" i="6"/>
  <c r="AA47" i="6"/>
  <c r="J22" i="8"/>
  <c r="J19" i="8"/>
  <c r="J20" i="8"/>
  <c r="J21" i="8"/>
  <c r="I134" i="8"/>
  <c r="I133" i="8"/>
  <c r="I132" i="8"/>
  <c r="H81" i="6"/>
  <c r="N81" i="6"/>
  <c r="H62" i="8"/>
  <c r="H61" i="8"/>
  <c r="G98" i="8"/>
  <c r="G96" i="8"/>
  <c r="G97" i="8"/>
  <c r="H22" i="8"/>
  <c r="H20" i="8"/>
  <c r="H21" i="8"/>
  <c r="H19" i="8"/>
  <c r="H71" i="8"/>
  <c r="H72" i="8"/>
  <c r="H118" i="8"/>
  <c r="H120" i="8"/>
  <c r="H119" i="8"/>
  <c r="G83" i="8"/>
  <c r="G82" i="8"/>
  <c r="G84" i="8"/>
  <c r="AK37" i="6"/>
  <c r="I109" i="8"/>
  <c r="AL82" i="6"/>
  <c r="H134" i="8"/>
  <c r="J47" i="8"/>
  <c r="H133" i="8"/>
  <c r="AL37" i="6"/>
  <c r="J45" i="8"/>
  <c r="AK42" i="6"/>
  <c r="AK41" i="6"/>
  <c r="AL42" i="6"/>
  <c r="F37" i="6"/>
  <c r="I29" i="9"/>
  <c r="G117" i="14"/>
  <c r="E16" i="9"/>
  <c r="AA31" i="6"/>
  <c r="P31" i="6"/>
  <c r="Z31" i="6"/>
  <c r="C117" i="14"/>
  <c r="E29" i="9"/>
  <c r="R37" i="6"/>
  <c r="E48" i="6"/>
  <c r="F48" i="6"/>
  <c r="E41" i="6"/>
  <c r="F41" i="6"/>
  <c r="R30" i="6"/>
  <c r="E75" i="6"/>
  <c r="F75" i="6"/>
  <c r="S41" i="6"/>
  <c r="R75" i="6"/>
  <c r="AL32" i="6"/>
  <c r="H29" i="9"/>
  <c r="E32" i="6"/>
  <c r="F32" i="6"/>
  <c r="R48" i="6"/>
  <c r="S75" i="6"/>
  <c r="S32" i="6"/>
  <c r="R41" i="6"/>
  <c r="S73" i="6"/>
  <c r="S30" i="6"/>
  <c r="I35" i="8"/>
  <c r="I33" i="8"/>
  <c r="H42" i="6"/>
  <c r="I32" i="8"/>
  <c r="Q42" i="6"/>
  <c r="O42" i="6"/>
  <c r="P42" i="6"/>
  <c r="I34" i="8"/>
  <c r="G45" i="8"/>
  <c r="Q38" i="6"/>
  <c r="O38" i="6"/>
  <c r="P38" i="6"/>
  <c r="G47" i="8"/>
  <c r="G48" i="8"/>
  <c r="G46" i="8"/>
  <c r="H38" i="6"/>
  <c r="I60" i="8"/>
  <c r="I61" i="8"/>
  <c r="I62" i="8"/>
  <c r="I71" i="8"/>
  <c r="I73" i="8"/>
  <c r="I72" i="8"/>
  <c r="H83" i="8"/>
  <c r="H82" i="8"/>
  <c r="H84" i="8"/>
  <c r="H98" i="8"/>
  <c r="H97" i="8"/>
  <c r="I120" i="8"/>
  <c r="I119" i="8"/>
  <c r="I118" i="8"/>
  <c r="H35" i="8"/>
  <c r="H33" i="8"/>
  <c r="H32" i="8"/>
  <c r="H34" i="8"/>
  <c r="I47" i="8"/>
  <c r="I46" i="8"/>
  <c r="H43" i="6"/>
  <c r="I45" i="8"/>
  <c r="Q43" i="6"/>
  <c r="O43" i="6"/>
  <c r="P43" i="6"/>
  <c r="I48" i="8"/>
  <c r="K133" i="8"/>
  <c r="K132" i="8"/>
  <c r="H82" i="6"/>
  <c r="K134" i="8"/>
  <c r="J83" i="8"/>
  <c r="J84" i="8"/>
  <c r="J82" i="8"/>
  <c r="J96" i="8"/>
  <c r="J97" i="8"/>
  <c r="J98" i="8"/>
  <c r="H109" i="8"/>
  <c r="H107" i="8"/>
  <c r="H108" i="8"/>
  <c r="G22" i="8"/>
  <c r="G21" i="8"/>
  <c r="G19" i="8"/>
  <c r="Q36" i="6"/>
  <c r="O36" i="6"/>
  <c r="P36" i="6"/>
  <c r="G20" i="8"/>
  <c r="H36" i="6"/>
  <c r="G108" i="8"/>
  <c r="G107" i="8"/>
  <c r="G109" i="8"/>
  <c r="J108" i="8"/>
  <c r="J107" i="8"/>
  <c r="J109" i="8"/>
  <c r="P81" i="6"/>
  <c r="Z81" i="6"/>
  <c r="AA81" i="6"/>
  <c r="I20" i="8"/>
  <c r="H41" i="6"/>
  <c r="I22" i="8"/>
  <c r="I19" i="8"/>
  <c r="Q41" i="6"/>
  <c r="O41" i="6"/>
  <c r="P41" i="6"/>
  <c r="I21" i="8"/>
  <c r="G62" i="8"/>
  <c r="G60" i="8"/>
  <c r="G61" i="8"/>
  <c r="J60" i="8"/>
  <c r="J61" i="8"/>
  <c r="J62" i="8"/>
  <c r="G72" i="8"/>
  <c r="G73" i="8"/>
  <c r="G71" i="8"/>
  <c r="G120" i="8"/>
  <c r="G119" i="8"/>
  <c r="G33" i="8"/>
  <c r="H37" i="6"/>
  <c r="E36" i="6"/>
  <c r="F36" i="6"/>
  <c r="S36" i="6"/>
  <c r="J73" i="8"/>
  <c r="I107" i="8"/>
  <c r="H60" i="8"/>
  <c r="G34" i="8"/>
  <c r="AK36" i="6"/>
  <c r="J33" i="8"/>
  <c r="J133" i="8"/>
  <c r="J34" i="8"/>
  <c r="J132" i="8"/>
  <c r="H73" i="8"/>
  <c r="C167" i="4"/>
  <c r="A161" i="3"/>
  <c r="B167" i="4"/>
  <c r="P112" i="3"/>
  <c r="K120" i="4"/>
  <c r="O112" i="3"/>
  <c r="L120" i="4"/>
  <c r="T112" i="3"/>
  <c r="U112" i="3"/>
  <c r="R112" i="3"/>
  <c r="S112" i="3"/>
  <c r="AQ148" i="3"/>
  <c r="Q148" i="3"/>
  <c r="P20" i="8"/>
  <c r="U98" i="8"/>
  <c r="R82" i="8"/>
  <c r="AK112" i="3"/>
  <c r="G80" i="6"/>
  <c r="AF80" i="6"/>
  <c r="E160" i="3"/>
  <c r="G166" i="4"/>
  <c r="AI160" i="3"/>
  <c r="J160" i="3"/>
  <c r="H166" i="4"/>
  <c r="L160" i="3"/>
  <c r="J166" i="4"/>
  <c r="W61" i="8"/>
  <c r="T109" i="8"/>
  <c r="R45" i="8"/>
  <c r="Q97" i="8"/>
  <c r="R84" i="8"/>
  <c r="T45" i="8"/>
  <c r="U48" i="8"/>
  <c r="T98" i="8"/>
  <c r="P19" i="8"/>
  <c r="Y106" i="3"/>
  <c r="Q81" i="3"/>
  <c r="Y73" i="6"/>
  <c r="J18" i="15"/>
  <c r="L23" i="15"/>
  <c r="M23" i="15"/>
  <c r="R22" i="8"/>
  <c r="N35" i="8"/>
  <c r="Y80" i="6"/>
  <c r="N80" i="6"/>
  <c r="W72" i="8"/>
  <c r="W73" i="8"/>
  <c r="AL123" i="3"/>
  <c r="AL126" i="3"/>
  <c r="AM122" i="3"/>
  <c r="AL157" i="3"/>
  <c r="O22" i="15"/>
  <c r="K22" i="15"/>
  <c r="Y109" i="3"/>
  <c r="X109" i="3"/>
  <c r="X111" i="6"/>
  <c r="M111" i="6"/>
  <c r="W111" i="6"/>
  <c r="I111" i="6"/>
  <c r="AF111" i="6"/>
  <c r="K111" i="6"/>
  <c r="V111" i="6"/>
  <c r="M99" i="6"/>
  <c r="W99" i="6"/>
  <c r="AF99" i="6"/>
  <c r="I99" i="6"/>
  <c r="X99" i="6"/>
  <c r="K99" i="6"/>
  <c r="V99" i="6"/>
  <c r="AQ9" i="3"/>
  <c r="Q105" i="3"/>
  <c r="C116" i="4"/>
  <c r="A108" i="3"/>
  <c r="B116" i="4"/>
  <c r="X94" i="6"/>
  <c r="M94" i="6"/>
  <c r="W94" i="6"/>
  <c r="AD116" i="6"/>
  <c r="U116" i="6"/>
  <c r="X120" i="8"/>
  <c r="M60" i="8"/>
  <c r="T96" i="8"/>
  <c r="S60" i="8"/>
  <c r="N33" i="8"/>
  <c r="AF94" i="6"/>
  <c r="K94" i="6"/>
  <c r="V94" i="6"/>
  <c r="AQ110" i="3"/>
  <c r="K18" i="15"/>
  <c r="O20" i="8"/>
  <c r="H57" i="6"/>
  <c r="L57" i="6"/>
  <c r="O61" i="8"/>
  <c r="T107" i="8"/>
  <c r="Q96" i="8"/>
  <c r="N82" i="8"/>
  <c r="AQ119" i="3"/>
  <c r="R109" i="8"/>
  <c r="Y91" i="8"/>
  <c r="P22" i="8"/>
  <c r="G144" i="14"/>
  <c r="I49" i="9"/>
  <c r="J80" i="6"/>
  <c r="AE80" i="6"/>
  <c r="AQ18" i="3"/>
  <c r="T108" i="3"/>
  <c r="U108" i="3"/>
  <c r="K116" i="4"/>
  <c r="R108" i="3"/>
  <c r="S108" i="3"/>
  <c r="P108" i="3"/>
  <c r="AQ108" i="3"/>
  <c r="Q108" i="3"/>
  <c r="O108" i="3"/>
  <c r="L116" i="4"/>
  <c r="I104" i="6"/>
  <c r="AF104" i="6"/>
  <c r="K104" i="6"/>
  <c r="V104" i="6"/>
  <c r="M104" i="6"/>
  <c r="W104" i="6"/>
  <c r="X104" i="6"/>
  <c r="L53" i="6"/>
  <c r="H89" i="14"/>
  <c r="I89" i="14"/>
  <c r="H92" i="14"/>
  <c r="I92" i="14"/>
  <c r="H94" i="14"/>
  <c r="I94" i="14"/>
  <c r="D96" i="14"/>
  <c r="E96" i="14"/>
  <c r="H107" i="14"/>
  <c r="I107" i="14"/>
  <c r="D107" i="14"/>
  <c r="E107" i="14"/>
  <c r="F20" i="9"/>
  <c r="AA66" i="2"/>
  <c r="X66" i="2"/>
  <c r="Z66" i="2"/>
  <c r="E30" i="2"/>
  <c r="C32" i="18"/>
  <c r="V66" i="2"/>
  <c r="L31" i="18"/>
  <c r="P66" i="2"/>
  <c r="L41" i="18"/>
  <c r="Q79" i="3"/>
  <c r="A12" i="3"/>
  <c r="X46" i="2"/>
  <c r="V47" i="2"/>
  <c r="W47" i="2"/>
  <c r="AA46" i="2"/>
  <c r="A150" i="3"/>
  <c r="AA49" i="2"/>
  <c r="X48" i="2"/>
  <c r="V49" i="2"/>
  <c r="W49" i="2"/>
  <c r="AA64" i="6"/>
  <c r="I144" i="14"/>
  <c r="K49" i="9"/>
  <c r="D18" i="9"/>
  <c r="D89" i="14"/>
  <c r="E89" i="14"/>
  <c r="D94" i="14"/>
  <c r="E94" i="14"/>
  <c r="D98" i="14"/>
  <c r="E98" i="14"/>
  <c r="D91" i="14"/>
  <c r="E91" i="14"/>
  <c r="D87" i="14"/>
  <c r="E87" i="14"/>
  <c r="G21" i="9"/>
  <c r="F108" i="14"/>
  <c r="G108" i="14"/>
  <c r="F105" i="14"/>
  <c r="G105" i="14"/>
  <c r="F96" i="14"/>
  <c r="G96" i="14"/>
  <c r="F100" i="14"/>
  <c r="G100" i="14"/>
  <c r="F97" i="14"/>
  <c r="G97" i="14"/>
  <c r="D100" i="14"/>
  <c r="E100" i="14"/>
  <c r="D101" i="14"/>
  <c r="E101" i="14"/>
  <c r="D95" i="14"/>
  <c r="E95" i="14"/>
  <c r="D102" i="14"/>
  <c r="E102" i="14"/>
  <c r="D103" i="14"/>
  <c r="E103" i="14"/>
  <c r="X73" i="6"/>
  <c r="D90" i="14"/>
  <c r="E90" i="14"/>
  <c r="M80" i="6"/>
  <c r="W80" i="6"/>
  <c r="E66" i="14"/>
  <c r="G19" i="9"/>
  <c r="H104" i="14"/>
  <c r="I104" i="14"/>
  <c r="F104" i="14"/>
  <c r="G104" i="14"/>
  <c r="F94" i="14"/>
  <c r="G94" i="14"/>
  <c r="P74" i="6"/>
  <c r="Z74" i="6"/>
  <c r="I117" i="14"/>
  <c r="H98" i="14"/>
  <c r="I98" i="14"/>
  <c r="D93" i="14"/>
  <c r="E93" i="14"/>
  <c r="I86" i="14"/>
  <c r="H95" i="14"/>
  <c r="I95" i="14"/>
  <c r="H96" i="14"/>
  <c r="I96" i="14"/>
  <c r="D108" i="14"/>
  <c r="E108" i="14"/>
  <c r="E86" i="14"/>
  <c r="H90" i="14"/>
  <c r="I90" i="14"/>
  <c r="F90" i="14"/>
  <c r="G90" i="14"/>
  <c r="F106" i="14"/>
  <c r="G106" i="14"/>
  <c r="F87" i="14"/>
  <c r="H21" i="9"/>
  <c r="F95" i="14"/>
  <c r="G95" i="14"/>
  <c r="I80" i="6"/>
  <c r="AD80" i="6"/>
  <c r="G86" i="14"/>
  <c r="F99" i="14"/>
  <c r="G99" i="14"/>
  <c r="F89" i="14"/>
  <c r="G89" i="14"/>
  <c r="F107" i="14"/>
  <c r="G107" i="14"/>
  <c r="F18" i="9"/>
  <c r="E30" i="14"/>
  <c r="G18" i="9"/>
  <c r="I66" i="14"/>
  <c r="K19" i="9"/>
  <c r="J19" i="9"/>
  <c r="H97" i="14"/>
  <c r="I97" i="14"/>
  <c r="H103" i="14"/>
  <c r="I103" i="14"/>
  <c r="F102" i="14"/>
  <c r="G102" i="14"/>
  <c r="F98" i="14"/>
  <c r="G98" i="14"/>
  <c r="P79" i="6"/>
  <c r="Z79" i="6"/>
  <c r="Y64" i="6"/>
  <c r="D104" i="14"/>
  <c r="E104" i="14"/>
  <c r="H102" i="14"/>
  <c r="I102" i="14"/>
  <c r="H93" i="14"/>
  <c r="I93" i="14"/>
  <c r="H108" i="14"/>
  <c r="I108" i="14"/>
  <c r="F88" i="14"/>
  <c r="G88" i="14"/>
  <c r="F93" i="14"/>
  <c r="G93" i="14"/>
  <c r="F101" i="14"/>
  <c r="G101" i="14"/>
  <c r="F103" i="14"/>
  <c r="G103" i="14"/>
  <c r="F91" i="14"/>
  <c r="G91" i="14"/>
  <c r="F49" i="9"/>
  <c r="E144" i="14"/>
  <c r="G49" i="9"/>
  <c r="J20" i="9"/>
  <c r="I72" i="14"/>
  <c r="K20" i="9"/>
  <c r="H99" i="14"/>
  <c r="I99" i="14"/>
  <c r="H88" i="14"/>
  <c r="I88" i="14"/>
  <c r="H100" i="14"/>
  <c r="I100" i="14"/>
  <c r="H87" i="14"/>
  <c r="H105" i="14"/>
  <c r="I105" i="14"/>
  <c r="H101" i="14"/>
  <c r="I101" i="14"/>
  <c r="H91" i="14"/>
  <c r="I91" i="14"/>
  <c r="AF49" i="6"/>
  <c r="I30" i="14"/>
  <c r="K18" i="9"/>
  <c r="J18" i="9"/>
  <c r="D97" i="14"/>
  <c r="E97" i="14"/>
  <c r="D99" i="14"/>
  <c r="E99" i="14"/>
  <c r="D88" i="14"/>
  <c r="E88" i="14"/>
  <c r="D106" i="14"/>
  <c r="E106" i="14"/>
  <c r="D92" i="14"/>
  <c r="E92" i="14"/>
  <c r="H18" i="9"/>
  <c r="G30" i="14"/>
  <c r="I18" i="9"/>
  <c r="X80" i="6"/>
  <c r="I49" i="6"/>
  <c r="U49" i="6"/>
  <c r="Y49" i="6"/>
  <c r="E117" i="14"/>
  <c r="E118" i="14"/>
  <c r="AA49" i="6"/>
  <c r="E33" i="13"/>
  <c r="AF32" i="6"/>
  <c r="J64" i="6"/>
  <c r="AE64" i="6"/>
  <c r="P30" i="6"/>
  <c r="Z30" i="6"/>
  <c r="U93" i="6"/>
  <c r="AD93" i="6"/>
  <c r="D23" i="4"/>
  <c r="AA47" i="2"/>
  <c r="AI12" i="3"/>
  <c r="L12" i="3"/>
  <c r="J23" i="4"/>
  <c r="AQ12" i="3"/>
  <c r="N20" i="8"/>
  <c r="P96" i="8"/>
  <c r="L49" i="6"/>
  <c r="Z49" i="6"/>
  <c r="I47" i="6"/>
  <c r="U47" i="6"/>
  <c r="N49" i="6"/>
  <c r="M47" i="6"/>
  <c r="W47" i="6"/>
  <c r="M20" i="8"/>
  <c r="H52" i="6"/>
  <c r="Y52" i="6"/>
  <c r="M21" i="8"/>
  <c r="M22" i="8"/>
  <c r="Z57" i="6"/>
  <c r="Q83" i="6"/>
  <c r="O83" i="6"/>
  <c r="P83" i="6"/>
  <c r="N22" i="8"/>
  <c r="AA57" i="6"/>
  <c r="P98" i="8"/>
  <c r="V84" i="8"/>
  <c r="Y84" i="8"/>
  <c r="Y83" i="8"/>
  <c r="U120" i="8"/>
  <c r="X82" i="8"/>
  <c r="X48" i="8"/>
  <c r="X22" i="8"/>
  <c r="W21" i="8"/>
  <c r="L64" i="6"/>
  <c r="U109" i="8"/>
  <c r="R108" i="8"/>
  <c r="U62" i="8"/>
  <c r="N64" i="6"/>
  <c r="U108" i="8"/>
  <c r="AF73" i="6"/>
  <c r="O48" i="8"/>
  <c r="G53" i="6"/>
  <c r="X53" i="6"/>
  <c r="M82" i="8"/>
  <c r="O84" i="6"/>
  <c r="P84" i="6"/>
  <c r="Z84" i="6"/>
  <c r="M62" i="8"/>
  <c r="O80" i="6"/>
  <c r="P80" i="6"/>
  <c r="Z80" i="6"/>
  <c r="O82" i="6"/>
  <c r="AA82" i="6"/>
  <c r="I73" i="6"/>
  <c r="AD73" i="6"/>
  <c r="G70" i="6"/>
  <c r="X70" i="6"/>
  <c r="Q107" i="8"/>
  <c r="S32" i="8"/>
  <c r="Q69" i="6"/>
  <c r="O69" i="6"/>
  <c r="P69" i="6"/>
  <c r="L73" i="6"/>
  <c r="X107" i="8"/>
  <c r="K73" i="6"/>
  <c r="V73" i="6"/>
  <c r="R61" i="8"/>
  <c r="L74" i="6"/>
  <c r="Q108" i="8"/>
  <c r="S33" i="8"/>
  <c r="H69" i="6"/>
  <c r="Y69" i="6"/>
  <c r="AA70" i="6"/>
  <c r="Q71" i="8"/>
  <c r="V60" i="8"/>
  <c r="X118" i="8"/>
  <c r="N73" i="6"/>
  <c r="AA73" i="6"/>
  <c r="X109" i="8"/>
  <c r="U96" i="8"/>
  <c r="Z70" i="6"/>
  <c r="Q73" i="8"/>
  <c r="R60" i="8"/>
  <c r="J73" i="6"/>
  <c r="AE73" i="6"/>
  <c r="M118" i="8"/>
  <c r="O60" i="8"/>
  <c r="O45" i="8"/>
  <c r="Q59" i="6"/>
  <c r="O59" i="6"/>
  <c r="O46" i="8"/>
  <c r="H59" i="6"/>
  <c r="N59" i="6"/>
  <c r="X47" i="6"/>
  <c r="G81" i="6"/>
  <c r="K81" i="6"/>
  <c r="V81" i="6"/>
  <c r="X49" i="6"/>
  <c r="K49" i="6"/>
  <c r="V49" i="6"/>
  <c r="AF47" i="6"/>
  <c r="N54" i="6"/>
  <c r="N48" i="8"/>
  <c r="O96" i="8"/>
  <c r="AA53" i="6"/>
  <c r="M109" i="8"/>
  <c r="Y109" i="8"/>
  <c r="Y108" i="8"/>
  <c r="N21" i="8"/>
  <c r="O98" i="8"/>
  <c r="Z54" i="6"/>
  <c r="Z53" i="6"/>
  <c r="M107" i="8"/>
  <c r="Q62" i="8"/>
  <c r="Q60" i="8"/>
  <c r="V20" i="8"/>
  <c r="V22" i="8"/>
  <c r="V21" i="8"/>
  <c r="J74" i="6"/>
  <c r="AE74" i="6"/>
  <c r="N70" i="6"/>
  <c r="Z64" i="6"/>
  <c r="Q61" i="8"/>
  <c r="X46" i="8"/>
  <c r="Y74" i="6"/>
  <c r="J70" i="6"/>
  <c r="AE70" i="6"/>
  <c r="X20" i="8"/>
  <c r="G63" i="6"/>
  <c r="I63" i="6"/>
  <c r="S19" i="8"/>
  <c r="Q68" i="6"/>
  <c r="O68" i="6"/>
  <c r="P68" i="6"/>
  <c r="O75" i="6"/>
  <c r="P75" i="6"/>
  <c r="N74" i="6"/>
  <c r="X19" i="8"/>
  <c r="Q118" i="8"/>
  <c r="X45" i="8"/>
  <c r="Q47" i="8"/>
  <c r="W20" i="8"/>
  <c r="T21" i="8"/>
  <c r="V19" i="8"/>
  <c r="N20" i="15"/>
  <c r="L20" i="15"/>
  <c r="M20" i="15"/>
  <c r="J29" i="4"/>
  <c r="D19" i="9"/>
  <c r="C66" i="14"/>
  <c r="E19" i="9"/>
  <c r="F67" i="2"/>
  <c r="F34" i="2"/>
  <c r="L66" i="2"/>
  <c r="L33" i="2"/>
  <c r="L30" i="18"/>
  <c r="T66" i="2"/>
  <c r="U101" i="6"/>
  <c r="AD101" i="6"/>
  <c r="AQ109" i="3"/>
  <c r="AR109" i="3"/>
  <c r="B91" i="14"/>
  <c r="C91" i="14"/>
  <c r="B87" i="14"/>
  <c r="B97" i="14"/>
  <c r="C97" i="14"/>
  <c r="B89" i="14"/>
  <c r="C89" i="14"/>
  <c r="B93" i="14"/>
  <c r="C93" i="14"/>
  <c r="B106" i="14"/>
  <c r="C106" i="14"/>
  <c r="B90" i="14"/>
  <c r="C90" i="14"/>
  <c r="B100" i="14"/>
  <c r="C100" i="14"/>
  <c r="B88" i="14"/>
  <c r="C88" i="14"/>
  <c r="B95" i="14"/>
  <c r="C95" i="14"/>
  <c r="B96" i="14"/>
  <c r="C96" i="14"/>
  <c r="B105" i="14"/>
  <c r="C105" i="14"/>
  <c r="B107" i="14"/>
  <c r="C107" i="14"/>
  <c r="B98" i="14"/>
  <c r="C98" i="14"/>
  <c r="B104" i="14"/>
  <c r="C104" i="14"/>
  <c r="C86" i="14"/>
  <c r="B99" i="14"/>
  <c r="C99" i="14"/>
  <c r="B103" i="14"/>
  <c r="C103" i="14"/>
  <c r="B92" i="14"/>
  <c r="C92" i="14"/>
  <c r="B101" i="14"/>
  <c r="C101" i="14"/>
  <c r="B108" i="14"/>
  <c r="C108" i="14"/>
  <c r="AD94" i="6"/>
  <c r="U94" i="6"/>
  <c r="B46" i="4"/>
  <c r="K79" i="6"/>
  <c r="V79" i="6"/>
  <c r="AF79" i="6"/>
  <c r="X79" i="6"/>
  <c r="I79" i="6"/>
  <c r="M79" i="6"/>
  <c r="W79" i="6"/>
  <c r="AQ59" i="3"/>
  <c r="Q59" i="3"/>
  <c r="AD105" i="6"/>
  <c r="U105" i="6"/>
  <c r="Q18" i="15"/>
  <c r="P18" i="15"/>
  <c r="T72" i="8"/>
  <c r="T71" i="8"/>
  <c r="T73" i="8"/>
  <c r="S72" i="8"/>
  <c r="S73" i="8"/>
  <c r="S71" i="8"/>
  <c r="Q48" i="3"/>
  <c r="AQ48" i="3"/>
  <c r="U115" i="6"/>
  <c r="AD115" i="6"/>
  <c r="AF89" i="6"/>
  <c r="X89" i="6"/>
  <c r="K89" i="6"/>
  <c r="V89" i="6"/>
  <c r="I89" i="6"/>
  <c r="M89" i="6"/>
  <c r="W89" i="6"/>
  <c r="C72" i="14"/>
  <c r="E20" i="9"/>
  <c r="D20" i="9"/>
  <c r="J53" i="6"/>
  <c r="AE53" i="6"/>
  <c r="Y53" i="6"/>
  <c r="X90" i="6"/>
  <c r="AF90" i="6"/>
  <c r="K90" i="6"/>
  <c r="V90" i="6"/>
  <c r="M90" i="6"/>
  <c r="W90" i="6"/>
  <c r="I90" i="6"/>
  <c r="AL83" i="3"/>
  <c r="AM83" i="3"/>
  <c r="K17" i="4"/>
  <c r="R13" i="2"/>
  <c r="L81" i="6"/>
  <c r="AA33" i="2"/>
  <c r="L39" i="18"/>
  <c r="I31" i="6"/>
  <c r="AD31" i="6"/>
  <c r="K31" i="6"/>
  <c r="V31" i="6"/>
  <c r="J33" i="2"/>
  <c r="L19" i="18"/>
  <c r="G54" i="6"/>
  <c r="I54" i="6"/>
  <c r="N45" i="8"/>
  <c r="M83" i="8"/>
  <c r="S83" i="8"/>
  <c r="Q46" i="8"/>
  <c r="H65" i="6"/>
  <c r="G65" i="6"/>
  <c r="N63" i="6"/>
  <c r="AB33" i="2"/>
  <c r="L38" i="18"/>
  <c r="S66" i="2"/>
  <c r="W13" i="2"/>
  <c r="H17" i="4"/>
  <c r="Y81" i="6"/>
  <c r="AF31" i="6"/>
  <c r="K33" i="2"/>
  <c r="N66" i="2"/>
  <c r="M33" i="2"/>
  <c r="L17" i="18"/>
  <c r="J54" i="6"/>
  <c r="AE54" i="6"/>
  <c r="N47" i="8"/>
  <c r="S82" i="8"/>
  <c r="Q48" i="8"/>
  <c r="S35" i="8"/>
  <c r="W22" i="8"/>
  <c r="Y63" i="6"/>
  <c r="J63" i="6"/>
  <c r="AE63" i="6"/>
  <c r="T20" i="8"/>
  <c r="Y77" i="8"/>
  <c r="R66" i="2"/>
  <c r="L43" i="18"/>
  <c r="Q50" i="3"/>
  <c r="I25" i="11"/>
  <c r="J25" i="11"/>
  <c r="AM28" i="3"/>
  <c r="AM29" i="3"/>
  <c r="I46" i="2"/>
  <c r="U66" i="2"/>
  <c r="L33" i="18"/>
  <c r="N119" i="8"/>
  <c r="N120" i="8"/>
  <c r="O20" i="15"/>
  <c r="I20" i="15"/>
  <c r="I25" i="15"/>
  <c r="J25" i="15"/>
  <c r="J20" i="15"/>
  <c r="AQ106" i="3"/>
  <c r="AR106" i="3"/>
  <c r="AR160" i="3"/>
  <c r="AQ160" i="3"/>
  <c r="R118" i="3"/>
  <c r="S118" i="3"/>
  <c r="P118" i="3"/>
  <c r="AQ118" i="3"/>
  <c r="K125" i="4"/>
  <c r="T118" i="3"/>
  <c r="U118" i="3"/>
  <c r="O118" i="3"/>
  <c r="L125" i="4"/>
  <c r="Q21" i="3"/>
  <c r="AQ21" i="3"/>
  <c r="Q19" i="15"/>
  <c r="P19" i="15"/>
  <c r="L30" i="6"/>
  <c r="N30" i="6"/>
  <c r="G30" i="6"/>
  <c r="Y30" i="6"/>
  <c r="J30" i="6"/>
  <c r="AE30" i="6"/>
  <c r="U110" i="6"/>
  <c r="AD110" i="6"/>
  <c r="V107" i="8"/>
  <c r="V108" i="8"/>
  <c r="AQ122" i="3"/>
  <c r="Q122" i="3"/>
  <c r="Q24" i="3"/>
  <c r="AQ24" i="3"/>
  <c r="C156" i="4"/>
  <c r="B156" i="4"/>
  <c r="K112" i="6"/>
  <c r="V112" i="6"/>
  <c r="I112" i="6"/>
  <c r="AF112" i="6"/>
  <c r="X112" i="6"/>
  <c r="M112" i="6"/>
  <c r="W112" i="6"/>
  <c r="I32" i="6"/>
  <c r="X32" i="6"/>
  <c r="K32" i="6"/>
  <c r="V32" i="6"/>
  <c r="M32" i="6"/>
  <c r="W32" i="6"/>
  <c r="N18" i="15"/>
  <c r="L18" i="15"/>
  <c r="M18" i="15"/>
  <c r="I49" i="2"/>
  <c r="AA16" i="2"/>
  <c r="Z32" i="6"/>
  <c r="N33" i="2"/>
  <c r="L18" i="18"/>
  <c r="Q120" i="8"/>
  <c r="T22" i="8"/>
  <c r="N118" i="8"/>
  <c r="K66" i="2"/>
  <c r="O66" i="2"/>
  <c r="M46" i="2"/>
  <c r="J81" i="6"/>
  <c r="AE81" i="6"/>
  <c r="AA32" i="6"/>
  <c r="B102" i="14"/>
  <c r="C102" i="14"/>
  <c r="X31" i="6"/>
  <c r="AA54" i="6"/>
  <c r="M66" i="2"/>
  <c r="L40" i="18"/>
  <c r="Y54" i="6"/>
  <c r="J48" i="2"/>
  <c r="I66" i="2"/>
  <c r="Q66" i="2"/>
  <c r="L42" i="18"/>
  <c r="AB15" i="2"/>
  <c r="J66" i="2"/>
  <c r="Q37" i="3"/>
  <c r="T15" i="2"/>
  <c r="S16" i="2"/>
  <c r="Q85" i="6"/>
  <c r="O85" i="6"/>
  <c r="M64" i="6"/>
  <c r="W64" i="6"/>
  <c r="K64" i="6"/>
  <c r="V64" i="6"/>
  <c r="X64" i="6"/>
  <c r="I64" i="6"/>
  <c r="AF64" i="6"/>
  <c r="N68" i="6"/>
  <c r="G68" i="6"/>
  <c r="J68" i="6"/>
  <c r="AE68" i="6"/>
  <c r="Y68" i="6"/>
  <c r="L68" i="6"/>
  <c r="Z65" i="6"/>
  <c r="AA65" i="6"/>
  <c r="M74" i="6"/>
  <c r="W74" i="6"/>
  <c r="K74" i="6"/>
  <c r="V74" i="6"/>
  <c r="AF74" i="6"/>
  <c r="I74" i="6"/>
  <c r="X74" i="6"/>
  <c r="G75" i="6"/>
  <c r="L75" i="6"/>
  <c r="N75" i="6"/>
  <c r="Y75" i="6"/>
  <c r="J75" i="6"/>
  <c r="AE75" i="6"/>
  <c r="Y57" i="6"/>
  <c r="N85" i="6"/>
  <c r="G85" i="6"/>
  <c r="L85" i="6"/>
  <c r="J85" i="6"/>
  <c r="AE85" i="6"/>
  <c r="Y85" i="6"/>
  <c r="AA58" i="6"/>
  <c r="Z58" i="6"/>
  <c r="N58" i="6"/>
  <c r="G58" i="6"/>
  <c r="Y58" i="6"/>
  <c r="J58" i="6"/>
  <c r="AE58" i="6"/>
  <c r="L58" i="6"/>
  <c r="I84" i="6"/>
  <c r="M84" i="6"/>
  <c r="W84" i="6"/>
  <c r="X84" i="6"/>
  <c r="K84" i="6"/>
  <c r="V84" i="6"/>
  <c r="AF84" i="6"/>
  <c r="AA52" i="6"/>
  <c r="Z52" i="6"/>
  <c r="AA48" i="6"/>
  <c r="Z48" i="6"/>
  <c r="L83" i="6"/>
  <c r="N83" i="6"/>
  <c r="G83" i="6"/>
  <c r="J83" i="6"/>
  <c r="AE83" i="6"/>
  <c r="Y83" i="6"/>
  <c r="G48" i="6"/>
  <c r="AF48" i="6"/>
  <c r="Y48" i="6"/>
  <c r="J48" i="6"/>
  <c r="AE48" i="6"/>
  <c r="L48" i="6"/>
  <c r="N48" i="6"/>
  <c r="Z33" i="2"/>
  <c r="L37" i="18"/>
  <c r="Y33" i="2"/>
  <c r="L36" i="18"/>
  <c r="Y134" i="8"/>
  <c r="Y133" i="8"/>
  <c r="C118" i="14"/>
  <c r="E30" i="9"/>
  <c r="B117" i="14"/>
  <c r="D30" i="9"/>
  <c r="F117" i="14"/>
  <c r="H30" i="9"/>
  <c r="G118" i="14"/>
  <c r="I30" i="9"/>
  <c r="Z41" i="6"/>
  <c r="AA41" i="6"/>
  <c r="Z36" i="6"/>
  <c r="AA36" i="6"/>
  <c r="N82" i="6"/>
  <c r="L82" i="6"/>
  <c r="Y82" i="6"/>
  <c r="J82" i="6"/>
  <c r="AE82" i="6"/>
  <c r="G82" i="6"/>
  <c r="Y43" i="6"/>
  <c r="J43" i="6"/>
  <c r="AE43" i="6"/>
  <c r="L43" i="6"/>
  <c r="N43" i="6"/>
  <c r="G43" i="6"/>
  <c r="AA38" i="6"/>
  <c r="Z38" i="6"/>
  <c r="L37" i="6"/>
  <c r="T33" i="2"/>
  <c r="J37" i="6"/>
  <c r="G37" i="6"/>
  <c r="P33" i="2"/>
  <c r="N37" i="6"/>
  <c r="V33" i="2"/>
  <c r="Y37" i="6"/>
  <c r="J36" i="6"/>
  <c r="AE36" i="6"/>
  <c r="N36" i="6"/>
  <c r="Y36" i="6"/>
  <c r="L36" i="6"/>
  <c r="G36" i="6"/>
  <c r="AA43" i="6"/>
  <c r="Z43" i="6"/>
  <c r="Y42" i="6"/>
  <c r="J42" i="6"/>
  <c r="AE42" i="6"/>
  <c r="G42" i="6"/>
  <c r="L42" i="6"/>
  <c r="N42" i="6"/>
  <c r="AA37" i="6"/>
  <c r="W33" i="2"/>
  <c r="X33" i="2"/>
  <c r="L41" i="6"/>
  <c r="Y41" i="6"/>
  <c r="N41" i="6"/>
  <c r="J41" i="6"/>
  <c r="AE41" i="6"/>
  <c r="G41" i="6"/>
  <c r="Z42" i="6"/>
  <c r="AA42" i="6"/>
  <c r="N38" i="6"/>
  <c r="Y38" i="6"/>
  <c r="J38" i="6"/>
  <c r="AE38" i="6"/>
  <c r="G38" i="6"/>
  <c r="L38" i="6"/>
  <c r="U104" i="6"/>
  <c r="AD104" i="6"/>
  <c r="A160" i="3"/>
  <c r="B166" i="4"/>
  <c r="C166" i="4"/>
  <c r="Q112" i="3"/>
  <c r="AQ112" i="3"/>
  <c r="J57" i="6"/>
  <c r="AE57" i="6"/>
  <c r="N57" i="6"/>
  <c r="I70" i="6"/>
  <c r="U111" i="6"/>
  <c r="AD111" i="6"/>
  <c r="D117" i="14"/>
  <c r="F30" i="9"/>
  <c r="G57" i="6"/>
  <c r="U73" i="6"/>
  <c r="F21" i="9"/>
  <c r="V48" i="2"/>
  <c r="AA48" i="2"/>
  <c r="W46" i="2"/>
  <c r="N22" i="15"/>
  <c r="L22" i="15"/>
  <c r="M22" i="15"/>
  <c r="U99" i="6"/>
  <c r="AD99" i="6"/>
  <c r="G30" i="9"/>
  <c r="I81" i="6"/>
  <c r="U81" i="6"/>
  <c r="Y35" i="8"/>
  <c r="Y34" i="8"/>
  <c r="Y98" i="8"/>
  <c r="Y97" i="8"/>
  <c r="Y15" i="2"/>
  <c r="K80" i="6"/>
  <c r="V80" i="6"/>
  <c r="W48" i="2"/>
  <c r="X49" i="2"/>
  <c r="V46" i="2"/>
  <c r="V63" i="2"/>
  <c r="J31" i="18"/>
  <c r="X47" i="2"/>
  <c r="Q22" i="15"/>
  <c r="P22" i="15"/>
  <c r="N69" i="6"/>
  <c r="X63" i="2"/>
  <c r="G87" i="14"/>
  <c r="I21" i="9"/>
  <c r="Z68" i="6"/>
  <c r="AF70" i="6"/>
  <c r="K70" i="6"/>
  <c r="V70" i="6"/>
  <c r="AA75" i="6"/>
  <c r="U80" i="6"/>
  <c r="M70" i="6"/>
  <c r="W70" i="6"/>
  <c r="I118" i="14"/>
  <c r="K30" i="9"/>
  <c r="H117" i="14"/>
  <c r="J30" i="9"/>
  <c r="AD49" i="6"/>
  <c r="AF53" i="6"/>
  <c r="AF54" i="6"/>
  <c r="K53" i="6"/>
  <c r="V53" i="6"/>
  <c r="J52" i="6"/>
  <c r="AE52" i="6"/>
  <c r="AA69" i="6"/>
  <c r="J21" i="9"/>
  <c r="I87" i="14"/>
  <c r="K21" i="9"/>
  <c r="U31" i="6"/>
  <c r="L69" i="6"/>
  <c r="L52" i="6"/>
  <c r="Y59" i="6"/>
  <c r="AA80" i="6"/>
  <c r="P82" i="6"/>
  <c r="Z82" i="6"/>
  <c r="S13" i="2"/>
  <c r="Q16" i="2"/>
  <c r="J17" i="4"/>
  <c r="B16" i="2"/>
  <c r="B49" i="2"/>
  <c r="K46" i="2"/>
  <c r="N15" i="2"/>
  <c r="P16" i="2"/>
  <c r="U46" i="2"/>
  <c r="H16" i="4"/>
  <c r="O48" i="2"/>
  <c r="I15" i="2"/>
  <c r="R16" i="2"/>
  <c r="K16" i="4"/>
  <c r="J15" i="2"/>
  <c r="T16" i="2"/>
  <c r="S15" i="2"/>
  <c r="H49" i="2"/>
  <c r="I13" i="2"/>
  <c r="N13" i="2"/>
  <c r="P15" i="2"/>
  <c r="O15" i="2"/>
  <c r="U48" i="2"/>
  <c r="K13" i="2"/>
  <c r="X16" i="2"/>
  <c r="I17" i="4"/>
  <c r="J49" i="2"/>
  <c r="I16" i="4"/>
  <c r="Q49" i="2"/>
  <c r="B13" i="2"/>
  <c r="B46" i="2"/>
  <c r="T13" i="2"/>
  <c r="L46" i="2"/>
  <c r="R48" i="2"/>
  <c r="M15" i="2"/>
  <c r="C17" i="4"/>
  <c r="B15" i="2"/>
  <c r="B48" i="2"/>
  <c r="K15" i="2"/>
  <c r="H48" i="2"/>
  <c r="U15" i="2"/>
  <c r="V16" i="2"/>
  <c r="F16" i="4"/>
  <c r="U16" i="2"/>
  <c r="G17" i="4"/>
  <c r="K48" i="2"/>
  <c r="O13" i="2"/>
  <c r="T46" i="2"/>
  <c r="I16" i="2"/>
  <c r="M48" i="2"/>
  <c r="P13" i="2"/>
  <c r="P48" i="2"/>
  <c r="J16" i="4"/>
  <c r="C16" i="4"/>
  <c r="E16" i="4"/>
  <c r="B23" i="4"/>
  <c r="P14" i="2"/>
  <c r="P47" i="2"/>
  <c r="S14" i="2"/>
  <c r="I14" i="2"/>
  <c r="I47" i="2"/>
  <c r="R47" i="2"/>
  <c r="H47" i="2"/>
  <c r="K47" i="2"/>
  <c r="L47" i="2"/>
  <c r="Z14" i="2"/>
  <c r="K14" i="2"/>
  <c r="M47" i="2"/>
  <c r="R14" i="2"/>
  <c r="J47" i="2"/>
  <c r="G47" i="2"/>
  <c r="O14" i="2"/>
  <c r="T14" i="2"/>
  <c r="AB14" i="2"/>
  <c r="O47" i="2"/>
  <c r="B14" i="2"/>
  <c r="B47" i="2"/>
  <c r="AA14" i="2"/>
  <c r="W14" i="2"/>
  <c r="V14" i="2"/>
  <c r="J14" i="2"/>
  <c r="U14" i="2"/>
  <c r="N47" i="2"/>
  <c r="S47" i="2"/>
  <c r="Q47" i="2"/>
  <c r="T47" i="2"/>
  <c r="N14" i="2"/>
  <c r="L14" i="2"/>
  <c r="U47" i="2"/>
  <c r="Y14" i="2"/>
  <c r="Q14" i="2"/>
  <c r="X14" i="2"/>
  <c r="E17" i="4"/>
  <c r="L16" i="4"/>
  <c r="G49" i="2"/>
  <c r="H46" i="2"/>
  <c r="Q15" i="2"/>
  <c r="O16" i="2"/>
  <c r="L13" i="2"/>
  <c r="G46" i="2"/>
  <c r="P46" i="2"/>
  <c r="Q13" i="2"/>
  <c r="U49" i="2"/>
  <c r="W16" i="2"/>
  <c r="G16" i="4"/>
  <c r="Z13" i="2"/>
  <c r="D17" i="4"/>
  <c r="N46" i="2"/>
  <c r="I48" i="2"/>
  <c r="S49" i="2"/>
  <c r="J46" i="2"/>
  <c r="Z16" i="2"/>
  <c r="L17" i="4"/>
  <c r="P49" i="2"/>
  <c r="Y13" i="2"/>
  <c r="N49" i="2"/>
  <c r="V13" i="2"/>
  <c r="X15" i="2"/>
  <c r="N16" i="2"/>
  <c r="M49" i="2"/>
  <c r="T48" i="2"/>
  <c r="M14" i="2"/>
  <c r="Q48" i="2"/>
  <c r="D16" i="4"/>
  <c r="S48" i="2"/>
  <c r="U13" i="2"/>
  <c r="M13" i="2"/>
  <c r="T49" i="2"/>
  <c r="F17" i="4"/>
  <c r="S46" i="2"/>
  <c r="O49" i="2"/>
  <c r="AA15" i="2"/>
  <c r="AB13" i="2"/>
  <c r="X13" i="2"/>
  <c r="AA13" i="2"/>
  <c r="G48" i="2"/>
  <c r="N48" i="2"/>
  <c r="W15" i="2"/>
  <c r="K49" i="2"/>
  <c r="V15" i="2"/>
  <c r="Z15" i="2"/>
  <c r="J13" i="2"/>
  <c r="Q46" i="2"/>
  <c r="O46" i="2"/>
  <c r="L48" i="2"/>
  <c r="R15" i="2"/>
  <c r="L15" i="2"/>
  <c r="R46" i="2"/>
  <c r="Y22" i="8"/>
  <c r="Y21" i="8"/>
  <c r="AA84" i="6"/>
  <c r="AD47" i="6"/>
  <c r="X54" i="6"/>
  <c r="G52" i="6"/>
  <c r="X52" i="6"/>
  <c r="J59" i="6"/>
  <c r="AE59" i="6"/>
  <c r="Z83" i="6"/>
  <c r="K54" i="6"/>
  <c r="V54" i="6"/>
  <c r="N52" i="6"/>
  <c r="AA83" i="6"/>
  <c r="M54" i="6"/>
  <c r="W54" i="6"/>
  <c r="G69" i="6"/>
  <c r="X69" i="6"/>
  <c r="J69" i="6"/>
  <c r="AE69" i="6"/>
  <c r="N65" i="6"/>
  <c r="Y65" i="6"/>
  <c r="Y120" i="8"/>
  <c r="Y119" i="8"/>
  <c r="I53" i="6"/>
  <c r="U53" i="6"/>
  <c r="M53" i="6"/>
  <c r="W53" i="6"/>
  <c r="Y62" i="8"/>
  <c r="Y61" i="8"/>
  <c r="M81" i="6"/>
  <c r="W81" i="6"/>
  <c r="X81" i="6"/>
  <c r="AF81" i="6"/>
  <c r="AF63" i="6"/>
  <c r="AA68" i="6"/>
  <c r="K63" i="6"/>
  <c r="V63" i="6"/>
  <c r="Y73" i="8"/>
  <c r="Y72" i="8"/>
  <c r="Y48" i="8"/>
  <c r="Y47" i="8"/>
  <c r="X63" i="6"/>
  <c r="Z69" i="6"/>
  <c r="P59" i="6"/>
  <c r="Z59" i="6"/>
  <c r="AA59" i="6"/>
  <c r="L59" i="6"/>
  <c r="G59" i="6"/>
  <c r="B59" i="6"/>
  <c r="L65" i="6"/>
  <c r="M63" i="6"/>
  <c r="W63" i="6"/>
  <c r="Z75" i="6"/>
  <c r="J65" i="6"/>
  <c r="AE65" i="6"/>
  <c r="B30" i="6"/>
  <c r="X30" i="6"/>
  <c r="M30" i="6"/>
  <c r="W30" i="6"/>
  <c r="K30" i="6"/>
  <c r="V30" i="6"/>
  <c r="I30" i="6"/>
  <c r="AF30" i="6"/>
  <c r="B32" i="6"/>
  <c r="U112" i="6"/>
  <c r="AD112" i="6"/>
  <c r="U89" i="6"/>
  <c r="AD89" i="6"/>
  <c r="D21" i="9"/>
  <c r="C87" i="14"/>
  <c r="E21" i="9"/>
  <c r="B31" i="6"/>
  <c r="Q118" i="3"/>
  <c r="R49" i="2"/>
  <c r="L49" i="2"/>
  <c r="M16" i="2"/>
  <c r="J16" i="2"/>
  <c r="AD79" i="6"/>
  <c r="U79" i="6"/>
  <c r="AD32" i="6"/>
  <c r="U32" i="6"/>
  <c r="Q20" i="15"/>
  <c r="P20" i="15"/>
  <c r="U90" i="6"/>
  <c r="AD90" i="6"/>
  <c r="L16" i="2"/>
  <c r="Y16" i="2"/>
  <c r="K16" i="2"/>
  <c r="AB16" i="2"/>
  <c r="AD74" i="6"/>
  <c r="U74" i="6"/>
  <c r="K68" i="6"/>
  <c r="V68" i="6"/>
  <c r="AF68" i="6"/>
  <c r="X68" i="6"/>
  <c r="I68" i="6"/>
  <c r="M68" i="6"/>
  <c r="W68" i="6"/>
  <c r="M65" i="6"/>
  <c r="W65" i="6"/>
  <c r="K65" i="6"/>
  <c r="V65" i="6"/>
  <c r="AF65" i="6"/>
  <c r="X65" i="6"/>
  <c r="I65" i="6"/>
  <c r="U64" i="6"/>
  <c r="AD64" i="6"/>
  <c r="AA85" i="6"/>
  <c r="P85" i="6"/>
  <c r="Z85" i="6"/>
  <c r="K75" i="6"/>
  <c r="V75" i="6"/>
  <c r="I75" i="6"/>
  <c r="X75" i="6"/>
  <c r="M75" i="6"/>
  <c r="W75" i="6"/>
  <c r="AF75" i="6"/>
  <c r="Z63" i="6"/>
  <c r="AA63" i="6"/>
  <c r="AD70" i="6"/>
  <c r="U70" i="6"/>
  <c r="U63" i="6"/>
  <c r="AD63" i="6"/>
  <c r="X85" i="6"/>
  <c r="AF85" i="6"/>
  <c r="I85" i="6"/>
  <c r="M85" i="6"/>
  <c r="W85" i="6"/>
  <c r="K85" i="6"/>
  <c r="V85" i="6"/>
  <c r="U54" i="6"/>
  <c r="AD54" i="6"/>
  <c r="U84" i="6"/>
  <c r="AD84" i="6"/>
  <c r="I58" i="6"/>
  <c r="X58" i="6"/>
  <c r="M58" i="6"/>
  <c r="W58" i="6"/>
  <c r="K58" i="6"/>
  <c r="V58" i="6"/>
  <c r="AF58" i="6"/>
  <c r="K57" i="6"/>
  <c r="V57" i="6"/>
  <c r="AF57" i="6"/>
  <c r="M57" i="6"/>
  <c r="W57" i="6"/>
  <c r="I57" i="6"/>
  <c r="X57" i="6"/>
  <c r="AF83" i="6"/>
  <c r="M83" i="6"/>
  <c r="W83" i="6"/>
  <c r="K83" i="6"/>
  <c r="V83" i="6"/>
  <c r="X83" i="6"/>
  <c r="I83" i="6"/>
  <c r="I48" i="6"/>
  <c r="K48" i="6"/>
  <c r="V48" i="6"/>
  <c r="M48" i="6"/>
  <c r="W48" i="6"/>
  <c r="X48" i="6"/>
  <c r="F118" i="14"/>
  <c r="H31" i="9"/>
  <c r="I31" i="9"/>
  <c r="G119" i="14"/>
  <c r="E31" i="9"/>
  <c r="C119" i="14"/>
  <c r="B118" i="14"/>
  <c r="D31" i="9"/>
  <c r="D118" i="14"/>
  <c r="F31" i="9"/>
  <c r="G31" i="9"/>
  <c r="E119" i="14"/>
  <c r="M36" i="6"/>
  <c r="W36" i="6"/>
  <c r="B48" i="6"/>
  <c r="B49" i="6"/>
  <c r="K36" i="6"/>
  <c r="V36" i="6"/>
  <c r="I36" i="6"/>
  <c r="X36" i="6"/>
  <c r="B47" i="6"/>
  <c r="B36" i="6"/>
  <c r="AF36" i="6"/>
  <c r="L21" i="18"/>
  <c r="X82" i="6"/>
  <c r="I82" i="6"/>
  <c r="AF82" i="6"/>
  <c r="M82" i="6"/>
  <c r="W82" i="6"/>
  <c r="K82" i="6"/>
  <c r="V82" i="6"/>
  <c r="X42" i="6"/>
  <c r="K42" i="6"/>
  <c r="V42" i="6"/>
  <c r="B42" i="6"/>
  <c r="AF42" i="6"/>
  <c r="I42" i="6"/>
  <c r="M42" i="6"/>
  <c r="W42" i="6"/>
  <c r="L29" i="18"/>
  <c r="X38" i="6"/>
  <c r="AF38" i="6"/>
  <c r="B38" i="6"/>
  <c r="I38" i="6"/>
  <c r="K38" i="6"/>
  <c r="V38" i="6"/>
  <c r="M38" i="6"/>
  <c r="W38" i="6"/>
  <c r="L34" i="18"/>
  <c r="R33" i="2"/>
  <c r="AE37" i="6"/>
  <c r="H66" i="2"/>
  <c r="Z37" i="6"/>
  <c r="L35" i="18"/>
  <c r="AF37" i="6"/>
  <c r="K37" i="6"/>
  <c r="B37" i="6"/>
  <c r="X37" i="6"/>
  <c r="M37" i="6"/>
  <c r="I37" i="6"/>
  <c r="O33" i="2"/>
  <c r="B41" i="2"/>
  <c r="AF41" i="6"/>
  <c r="B41" i="6"/>
  <c r="X41" i="6"/>
  <c r="I41" i="6"/>
  <c r="K41" i="6"/>
  <c r="V41" i="6"/>
  <c r="M41" i="6"/>
  <c r="W41" i="6"/>
  <c r="L27" i="18"/>
  <c r="I43" i="6"/>
  <c r="B43" i="6"/>
  <c r="X43" i="6"/>
  <c r="K43" i="6"/>
  <c r="V43" i="6"/>
  <c r="AF43" i="6"/>
  <c r="M43" i="6"/>
  <c r="W43" i="6"/>
  <c r="AD81" i="6"/>
  <c r="AD53" i="6"/>
  <c r="K69" i="6"/>
  <c r="V69" i="6"/>
  <c r="I119" i="14"/>
  <c r="K31" i="9"/>
  <c r="H118" i="14"/>
  <c r="J31" i="9"/>
  <c r="B65" i="6"/>
  <c r="B58" i="6"/>
  <c r="C8" i="9"/>
  <c r="J63" i="2"/>
  <c r="N30" i="2"/>
  <c r="J18" i="18"/>
  <c r="N127" i="4"/>
  <c r="N104" i="4"/>
  <c r="N160" i="4"/>
  <c r="N62" i="4"/>
  <c r="I30" i="2"/>
  <c r="R63" i="2"/>
  <c r="J43" i="18"/>
  <c r="Q63" i="2"/>
  <c r="J42" i="18"/>
  <c r="N22" i="4"/>
  <c r="S63" i="2"/>
  <c r="H63" i="2"/>
  <c r="J23" i="18"/>
  <c r="N29" i="4"/>
  <c r="N86" i="4"/>
  <c r="N109" i="4"/>
  <c r="N95" i="4"/>
  <c r="N53" i="4"/>
  <c r="N128" i="4"/>
  <c r="I63" i="2"/>
  <c r="N52" i="4"/>
  <c r="N38" i="4"/>
  <c r="N163" i="4"/>
  <c r="N33" i="4"/>
  <c r="N107" i="4"/>
  <c r="N117" i="4"/>
  <c r="N100" i="4"/>
  <c r="K63" i="2"/>
  <c r="G63" i="2"/>
  <c r="T63" i="2"/>
  <c r="U63" i="2"/>
  <c r="J33" i="18"/>
  <c r="N120" i="4"/>
  <c r="L63" i="2"/>
  <c r="N173" i="4"/>
  <c r="N96" i="4"/>
  <c r="N30" i="4"/>
  <c r="N124" i="4"/>
  <c r="N24" i="4"/>
  <c r="N89" i="4"/>
  <c r="N98" i="4"/>
  <c r="N68" i="4"/>
  <c r="N125" i="4"/>
  <c r="N81" i="4"/>
  <c r="N39" i="4"/>
  <c r="N83" i="4"/>
  <c r="N169" i="4"/>
  <c r="N35" i="4"/>
  <c r="N140" i="4"/>
  <c r="N165" i="4"/>
  <c r="O63" i="2"/>
  <c r="M63" i="2"/>
  <c r="J40" i="18"/>
  <c r="N63" i="2"/>
  <c r="P63" i="2"/>
  <c r="J41" i="18"/>
  <c r="N113" i="4"/>
  <c r="N60" i="4"/>
  <c r="N166" i="4"/>
  <c r="N126" i="4"/>
  <c r="N51" i="4"/>
  <c r="N36" i="4"/>
  <c r="N106" i="4"/>
  <c r="N154" i="4"/>
  <c r="N66" i="4"/>
  <c r="N31" i="4"/>
  <c r="N64" i="4"/>
  <c r="N123" i="4"/>
  <c r="N114" i="4"/>
  <c r="N130" i="4"/>
  <c r="N131" i="4"/>
  <c r="N55" i="4"/>
  <c r="N74" i="4"/>
  <c r="N133" i="4"/>
  <c r="N148" i="4"/>
  <c r="N103" i="4"/>
  <c r="N50" i="4"/>
  <c r="N21" i="4"/>
  <c r="N139" i="4"/>
  <c r="N59" i="4"/>
  <c r="N67" i="4"/>
  <c r="N170" i="4"/>
  <c r="N20" i="4"/>
  <c r="N40" i="4"/>
  <c r="N82" i="4"/>
  <c r="N172" i="4"/>
  <c r="N167" i="4"/>
  <c r="N119" i="4"/>
  <c r="N91" i="4"/>
  <c r="N43" i="4"/>
  <c r="N28" i="4"/>
  <c r="N157" i="4"/>
  <c r="N134" i="4"/>
  <c r="N47" i="4"/>
  <c r="N108" i="4"/>
  <c r="N158" i="4"/>
  <c r="N65" i="4"/>
  <c r="N150" i="4"/>
  <c r="N145" i="4"/>
  <c r="N58" i="4"/>
  <c r="N54" i="4"/>
  <c r="N70" i="4"/>
  <c r="N156" i="4"/>
  <c r="N151" i="4"/>
  <c r="N49" i="4"/>
  <c r="N61" i="4"/>
  <c r="N69" i="4"/>
  <c r="N164" i="4"/>
  <c r="N44" i="4"/>
  <c r="N25" i="4"/>
  <c r="N111" i="4"/>
  <c r="N34" i="4"/>
  <c r="N76" i="4"/>
  <c r="N63" i="4"/>
  <c r="N57" i="4"/>
  <c r="N147" i="4"/>
  <c r="N56" i="4"/>
  <c r="N152" i="4"/>
  <c r="N72" i="4"/>
  <c r="N141" i="4"/>
  <c r="N118" i="4"/>
  <c r="N110" i="4"/>
  <c r="N159" i="4"/>
  <c r="N88" i="4"/>
  <c r="N116" i="4"/>
  <c r="N97" i="4"/>
  <c r="N71" i="4"/>
  <c r="N37" i="4"/>
  <c r="N27" i="4"/>
  <c r="N46" i="4"/>
  <c r="N99" i="4"/>
  <c r="N102" i="4"/>
  <c r="N48" i="4"/>
  <c r="N23" i="4"/>
  <c r="N162" i="4"/>
  <c r="N168" i="4"/>
  <c r="N87" i="4"/>
  <c r="N19" i="4"/>
  <c r="N32" i="4"/>
  <c r="N84" i="4"/>
  <c r="N90" i="4"/>
  <c r="N129" i="4"/>
  <c r="N122" i="4"/>
  <c r="N115" i="4"/>
  <c r="N26" i="4"/>
  <c r="N112" i="4"/>
  <c r="N155" i="4"/>
  <c r="N93" i="4"/>
  <c r="N138" i="4"/>
  <c r="N42" i="4"/>
  <c r="N161" i="4"/>
  <c r="N132" i="4"/>
  <c r="B64" i="6"/>
  <c r="B54" i="6"/>
  <c r="B57" i="6"/>
  <c r="M52" i="6"/>
  <c r="W52" i="6"/>
  <c r="B75" i="6"/>
  <c r="B112" i="6"/>
  <c r="I52" i="6"/>
  <c r="U52" i="6"/>
  <c r="B68" i="6"/>
  <c r="B110" i="6"/>
  <c r="B63" i="6"/>
  <c r="AF52" i="6"/>
  <c r="B82" i="6"/>
  <c r="B53" i="6"/>
  <c r="B89" i="6"/>
  <c r="B52" i="6"/>
  <c r="K52" i="6"/>
  <c r="V52" i="6"/>
  <c r="B79" i="6"/>
  <c r="B111" i="6"/>
  <c r="B70" i="6"/>
  <c r="B93" i="6"/>
  <c r="B105" i="6"/>
  <c r="B80" i="6"/>
  <c r="I69" i="6"/>
  <c r="AD69" i="6"/>
  <c r="B74" i="6"/>
  <c r="B104" i="6"/>
  <c r="B83" i="6"/>
  <c r="B101" i="6"/>
  <c r="B69" i="6"/>
  <c r="B94" i="6"/>
  <c r="B73" i="6"/>
  <c r="AF69" i="6"/>
  <c r="B81" i="6"/>
  <c r="B91" i="6"/>
  <c r="B33" i="2"/>
  <c r="B85" i="6"/>
  <c r="B84" i="6"/>
  <c r="B116" i="6"/>
  <c r="B100" i="6"/>
  <c r="B90" i="6"/>
  <c r="B99" i="6"/>
  <c r="B115" i="6"/>
  <c r="M69" i="6"/>
  <c r="W69" i="6"/>
  <c r="K59" i="6"/>
  <c r="V59" i="6"/>
  <c r="I59" i="6"/>
  <c r="AF59" i="6"/>
  <c r="M59" i="6"/>
  <c r="W59" i="6"/>
  <c r="X59" i="6"/>
  <c r="U30" i="6"/>
  <c r="AD30" i="6"/>
  <c r="AD68" i="6"/>
  <c r="U68" i="6"/>
  <c r="AD75" i="6"/>
  <c r="U75" i="6"/>
  <c r="AD65" i="6"/>
  <c r="U65" i="6"/>
  <c r="U57" i="6"/>
  <c r="AD57" i="6"/>
  <c r="AD58" i="6"/>
  <c r="U58" i="6"/>
  <c r="U85" i="6"/>
  <c r="AD85" i="6"/>
  <c r="U48" i="6"/>
  <c r="AD48" i="6"/>
  <c r="U83" i="6"/>
  <c r="AD83" i="6"/>
  <c r="E120" i="14"/>
  <c r="D119" i="14"/>
  <c r="F32" i="9"/>
  <c r="G32" i="9"/>
  <c r="G120" i="14"/>
  <c r="F119" i="14"/>
  <c r="H32" i="9"/>
  <c r="I32" i="9"/>
  <c r="C120" i="14"/>
  <c r="E32" i="9"/>
  <c r="B119" i="14"/>
  <c r="D32" i="9"/>
  <c r="L25" i="18"/>
  <c r="U41" i="6"/>
  <c r="AD41" i="6"/>
  <c r="U33" i="2"/>
  <c r="W37" i="6"/>
  <c r="U43" i="6"/>
  <c r="AD43" i="6"/>
  <c r="AD37" i="6"/>
  <c r="G66" i="2"/>
  <c r="Q33" i="2"/>
  <c r="U37" i="6"/>
  <c r="V37" i="6"/>
  <c r="S33" i="2"/>
  <c r="U38" i="6"/>
  <c r="AD38" i="6"/>
  <c r="AD82" i="6"/>
  <c r="U82" i="6"/>
  <c r="L20" i="18"/>
  <c r="U42" i="6"/>
  <c r="AD42" i="6"/>
  <c r="L23" i="18"/>
  <c r="U36" i="6"/>
  <c r="AD36" i="6"/>
  <c r="U69" i="6"/>
  <c r="AC31" i="2"/>
  <c r="E64" i="2"/>
  <c r="W63" i="2"/>
  <c r="V64" i="2"/>
  <c r="X64" i="2"/>
  <c r="X67" i="2"/>
  <c r="I120" i="14"/>
  <c r="K32" i="9"/>
  <c r="H119" i="14"/>
  <c r="J32" i="9"/>
  <c r="I64" i="2"/>
  <c r="I67" i="2"/>
  <c r="AD52" i="6"/>
  <c r="AA41" i="2"/>
  <c r="L50" i="18"/>
  <c r="B66" i="2"/>
  <c r="U41" i="2"/>
  <c r="X41" i="2"/>
  <c r="L46" i="18"/>
  <c r="T41" i="2"/>
  <c r="L45" i="18"/>
  <c r="G41" i="2"/>
  <c r="Y41" i="2"/>
  <c r="I41" i="2"/>
  <c r="L49" i="18"/>
  <c r="L41" i="2"/>
  <c r="N41" i="2"/>
  <c r="C47" i="18"/>
  <c r="AB41" i="2"/>
  <c r="R41" i="2"/>
  <c r="E47" i="18"/>
  <c r="F41" i="2"/>
  <c r="L48" i="18"/>
  <c r="J41" i="2"/>
  <c r="P41" i="2"/>
  <c r="D47" i="18"/>
  <c r="L64" i="2"/>
  <c r="L67" i="2"/>
  <c r="H64" i="2"/>
  <c r="K23" i="18"/>
  <c r="J30" i="2"/>
  <c r="N31" i="2"/>
  <c r="N34" i="2"/>
  <c r="M18" i="18"/>
  <c r="G28" i="2"/>
  <c r="E30" i="18"/>
  <c r="T64" i="2"/>
  <c r="T67" i="2"/>
  <c r="G64" i="2"/>
  <c r="K22" i="18"/>
  <c r="G13" i="2"/>
  <c r="E15" i="18"/>
  <c r="G15" i="2"/>
  <c r="E17" i="18"/>
  <c r="G14" i="2"/>
  <c r="E16" i="18"/>
  <c r="R64" i="2"/>
  <c r="R67" i="2"/>
  <c r="M43" i="18"/>
  <c r="J64" i="2"/>
  <c r="J67" i="2"/>
  <c r="S64" i="2"/>
  <c r="C54" i="18"/>
  <c r="C55" i="18"/>
  <c r="N64" i="2"/>
  <c r="N67" i="2"/>
  <c r="J16" i="18"/>
  <c r="Q64" i="2"/>
  <c r="K42" i="18"/>
  <c r="O64" i="2"/>
  <c r="O67" i="2"/>
  <c r="U64" i="2"/>
  <c r="G16" i="2"/>
  <c r="E18" i="18"/>
  <c r="J22" i="18"/>
  <c r="P64" i="2"/>
  <c r="K41" i="18"/>
  <c r="K64" i="2"/>
  <c r="M64" i="2"/>
  <c r="M67" i="2"/>
  <c r="M40" i="18"/>
  <c r="U59" i="6"/>
  <c r="AD59" i="6"/>
  <c r="D120" i="14"/>
  <c r="F33" i="9"/>
  <c r="E121" i="14"/>
  <c r="G33" i="9"/>
  <c r="C121" i="14"/>
  <c r="B120" i="14"/>
  <c r="D33" i="9"/>
  <c r="E33" i="9"/>
  <c r="G121" i="14"/>
  <c r="I33" i="9"/>
  <c r="F120" i="14"/>
  <c r="H33" i="9"/>
  <c r="L26" i="18"/>
  <c r="L28" i="18"/>
  <c r="L24" i="18"/>
  <c r="L22" i="18"/>
  <c r="K33" i="9"/>
  <c r="H120" i="14"/>
  <c r="J33" i="9"/>
  <c r="I121" i="14"/>
  <c r="U67" i="2"/>
  <c r="M33" i="18"/>
  <c r="K33" i="18"/>
  <c r="W64" i="2"/>
  <c r="J32" i="18"/>
  <c r="J19" i="18"/>
  <c r="Z63" i="2"/>
  <c r="Z64" i="2"/>
  <c r="Z67" i="2"/>
  <c r="K31" i="18"/>
  <c r="V67" i="2"/>
  <c r="M31" i="18"/>
  <c r="E31" i="2"/>
  <c r="C33" i="18"/>
  <c r="S67" i="2"/>
  <c r="J31" i="2"/>
  <c r="K19" i="18"/>
  <c r="K30" i="2"/>
  <c r="L47" i="18"/>
  <c r="K18" i="18"/>
  <c r="K43" i="18"/>
  <c r="H67" i="2"/>
  <c r="M23" i="18"/>
  <c r="K67" i="2"/>
  <c r="G67" i="2"/>
  <c r="M22" i="18"/>
  <c r="K40" i="18"/>
  <c r="Q67" i="2"/>
  <c r="M42" i="18"/>
  <c r="P67" i="2"/>
  <c r="M41" i="18"/>
  <c r="C122" i="14"/>
  <c r="B121" i="14"/>
  <c r="D34" i="9"/>
  <c r="E34" i="9"/>
  <c r="G34" i="9"/>
  <c r="E122" i="14"/>
  <c r="D121" i="14"/>
  <c r="F34" i="9"/>
  <c r="F121" i="14"/>
  <c r="H34" i="9"/>
  <c r="G122" i="14"/>
  <c r="I34" i="9"/>
  <c r="K32" i="18"/>
  <c r="W67" i="2"/>
  <c r="M32" i="18"/>
  <c r="L30" i="2"/>
  <c r="M30" i="2"/>
  <c r="Y63" i="2"/>
  <c r="Y64" i="2"/>
  <c r="Y67" i="2"/>
  <c r="K34" i="9"/>
  <c r="H121" i="14"/>
  <c r="J34" i="9"/>
  <c r="I122" i="14"/>
  <c r="J34" i="2"/>
  <c r="M19" i="18"/>
  <c r="K31" i="2"/>
  <c r="K34" i="2"/>
  <c r="E35" i="9"/>
  <c r="C123" i="14"/>
  <c r="B122" i="14"/>
  <c r="D35" i="9"/>
  <c r="G123" i="14"/>
  <c r="F122" i="14"/>
  <c r="H35" i="9"/>
  <c r="I35" i="9"/>
  <c r="D122" i="14"/>
  <c r="F35" i="9"/>
  <c r="E123" i="14"/>
  <c r="G35" i="9"/>
  <c r="AB40" i="2"/>
  <c r="L31" i="2"/>
  <c r="L34" i="2"/>
  <c r="M30" i="18"/>
  <c r="J40" i="2"/>
  <c r="J30" i="18"/>
  <c r="K35" i="9"/>
  <c r="I123" i="14"/>
  <c r="H122" i="14"/>
  <c r="J35" i="9"/>
  <c r="M31" i="2"/>
  <c r="J17" i="18"/>
  <c r="O30" i="2"/>
  <c r="F123" i="14"/>
  <c r="H36" i="9"/>
  <c r="G124" i="14"/>
  <c r="I36" i="9"/>
  <c r="D123" i="14"/>
  <c r="F36" i="9"/>
  <c r="G36" i="9"/>
  <c r="E124" i="14"/>
  <c r="E36" i="9"/>
  <c r="C124" i="14"/>
  <c r="B123" i="14"/>
  <c r="D36" i="9"/>
  <c r="K30" i="18"/>
  <c r="K36" i="9"/>
  <c r="I124" i="14"/>
  <c r="H123" i="14"/>
  <c r="J36" i="9"/>
  <c r="M34" i="2"/>
  <c r="M17" i="18"/>
  <c r="J51" i="18"/>
  <c r="K51" i="18"/>
  <c r="K17" i="18"/>
  <c r="P30" i="2"/>
  <c r="J20" i="18"/>
  <c r="O31" i="2"/>
  <c r="B124" i="14"/>
  <c r="D37" i="9"/>
  <c r="E37" i="9"/>
  <c r="C125" i="14"/>
  <c r="F124" i="14"/>
  <c r="H37" i="9"/>
  <c r="G125" i="14"/>
  <c r="I37" i="9"/>
  <c r="G37" i="9"/>
  <c r="D124" i="14"/>
  <c r="F37" i="9"/>
  <c r="E125" i="14"/>
  <c r="K37" i="9"/>
  <c r="H124" i="14"/>
  <c r="J37" i="9"/>
  <c r="I125" i="14"/>
  <c r="F40" i="2"/>
  <c r="K48" i="18"/>
  <c r="O34" i="2"/>
  <c r="M20" i="18"/>
  <c r="K20" i="18"/>
  <c r="P31" i="2"/>
  <c r="J21" i="18"/>
  <c r="Q30" i="2"/>
  <c r="G38" i="9"/>
  <c r="D125" i="14"/>
  <c r="F38" i="9"/>
  <c r="E126" i="14"/>
  <c r="G126" i="14"/>
  <c r="F125" i="14"/>
  <c r="H38" i="9"/>
  <c r="I38" i="9"/>
  <c r="C126" i="14"/>
  <c r="B125" i="14"/>
  <c r="D38" i="9"/>
  <c r="E38" i="9"/>
  <c r="I126" i="14"/>
  <c r="H125" i="14"/>
  <c r="J38" i="9"/>
  <c r="K38" i="9"/>
  <c r="J24" i="18"/>
  <c r="Q31" i="2"/>
  <c r="R30" i="2"/>
  <c r="M48" i="18"/>
  <c r="J48" i="18"/>
  <c r="B40" i="2"/>
  <c r="K21" i="18"/>
  <c r="AA40" i="2"/>
  <c r="K50" i="18"/>
  <c r="P34" i="2"/>
  <c r="M21" i="18"/>
  <c r="I40" i="2"/>
  <c r="K49" i="18"/>
  <c r="E39" i="9"/>
  <c r="B126" i="14"/>
  <c r="D39" i="9"/>
  <c r="C127" i="14"/>
  <c r="E127" i="14"/>
  <c r="G39" i="9"/>
  <c r="D126" i="14"/>
  <c r="F39" i="9"/>
  <c r="I39" i="9"/>
  <c r="F126" i="14"/>
  <c r="H39" i="9"/>
  <c r="G127" i="14"/>
  <c r="H126" i="14"/>
  <c r="J39" i="9"/>
  <c r="K39" i="9"/>
  <c r="I127" i="14"/>
  <c r="J49" i="18"/>
  <c r="M49" i="18"/>
  <c r="Q34" i="2"/>
  <c r="M24" i="18"/>
  <c r="K24" i="18"/>
  <c r="N40" i="2"/>
  <c r="C46" i="18"/>
  <c r="C48" i="18"/>
  <c r="R31" i="2"/>
  <c r="S30" i="2"/>
  <c r="J25" i="18"/>
  <c r="J50" i="18"/>
  <c r="M50" i="18"/>
  <c r="G128" i="14"/>
  <c r="F127" i="14"/>
  <c r="H40" i="9"/>
  <c r="I40" i="9"/>
  <c r="E128" i="14"/>
  <c r="G40" i="9"/>
  <c r="D127" i="14"/>
  <c r="F40" i="9"/>
  <c r="E40" i="9"/>
  <c r="B127" i="14"/>
  <c r="D40" i="9"/>
  <c r="C128" i="14"/>
  <c r="K40" i="9"/>
  <c r="I128" i="14"/>
  <c r="H127" i="14"/>
  <c r="J40" i="9"/>
  <c r="J26" i="18"/>
  <c r="T30" i="2"/>
  <c r="S31" i="2"/>
  <c r="R34" i="2"/>
  <c r="M25" i="18"/>
  <c r="K25" i="18"/>
  <c r="F128" i="14"/>
  <c r="H41" i="9"/>
  <c r="I41" i="9"/>
  <c r="G129" i="14"/>
  <c r="E41" i="9"/>
  <c r="B128" i="14"/>
  <c r="D41" i="9"/>
  <c r="C129" i="14"/>
  <c r="E129" i="14"/>
  <c r="D128" i="14"/>
  <c r="F41" i="9"/>
  <c r="G41" i="9"/>
  <c r="K41" i="9"/>
  <c r="H128" i="14"/>
  <c r="J41" i="9"/>
  <c r="I129" i="14"/>
  <c r="U30" i="2"/>
  <c r="J27" i="18"/>
  <c r="T31" i="2"/>
  <c r="P40" i="2"/>
  <c r="D46" i="18"/>
  <c r="D48" i="18"/>
  <c r="S34" i="2"/>
  <c r="M26" i="18"/>
  <c r="K26" i="18"/>
  <c r="G130" i="14"/>
  <c r="I42" i="9"/>
  <c r="F129" i="14"/>
  <c r="H42" i="9"/>
  <c r="D129" i="14"/>
  <c r="F42" i="9"/>
  <c r="G42" i="9"/>
  <c r="E130" i="14"/>
  <c r="E42" i="9"/>
  <c r="C130" i="14"/>
  <c r="B129" i="14"/>
  <c r="D42" i="9"/>
  <c r="H129" i="14"/>
  <c r="J42" i="9"/>
  <c r="I130" i="14"/>
  <c r="K42" i="9"/>
  <c r="T34" i="2"/>
  <c r="M27" i="18"/>
  <c r="K27" i="18"/>
  <c r="U31" i="2"/>
  <c r="J28" i="18"/>
  <c r="V30" i="2"/>
  <c r="G131" i="14"/>
  <c r="F130" i="14"/>
  <c r="H43" i="9"/>
  <c r="I43" i="9"/>
  <c r="C131" i="14"/>
  <c r="E43" i="9"/>
  <c r="B130" i="14"/>
  <c r="D43" i="9"/>
  <c r="G43" i="9"/>
  <c r="E131" i="14"/>
  <c r="D130" i="14"/>
  <c r="F43" i="9"/>
  <c r="H130" i="14"/>
  <c r="J43" i="9"/>
  <c r="I131" i="14"/>
  <c r="K43" i="9"/>
  <c r="U34" i="2"/>
  <c r="M28" i="18"/>
  <c r="K28" i="18"/>
  <c r="J29" i="18"/>
  <c r="V31" i="2"/>
  <c r="R40" i="2"/>
  <c r="E46" i="18"/>
  <c r="E48" i="18"/>
  <c r="W30" i="2"/>
  <c r="B131" i="14"/>
  <c r="D44" i="9"/>
  <c r="E44" i="9"/>
  <c r="C132" i="14"/>
  <c r="D131" i="14"/>
  <c r="F44" i="9"/>
  <c r="G44" i="9"/>
  <c r="E132" i="14"/>
  <c r="I44" i="9"/>
  <c r="F131" i="14"/>
  <c r="H44" i="9"/>
  <c r="G132" i="14"/>
  <c r="I132" i="14"/>
  <c r="K44" i="9"/>
  <c r="H131" i="14"/>
  <c r="J44" i="9"/>
  <c r="X30" i="2"/>
  <c r="T40" i="2"/>
  <c r="K45" i="18"/>
  <c r="J34" i="18"/>
  <c r="W31" i="2"/>
  <c r="V34" i="2"/>
  <c r="M29" i="18"/>
  <c r="K29" i="18"/>
  <c r="F132" i="14"/>
  <c r="H45" i="9"/>
  <c r="I45" i="9"/>
  <c r="G133" i="14"/>
  <c r="C133" i="14"/>
  <c r="B132" i="14"/>
  <c r="D45" i="9"/>
  <c r="E45" i="9"/>
  <c r="G45" i="9"/>
  <c r="E133" i="14"/>
  <c r="D132" i="14"/>
  <c r="F45" i="9"/>
  <c r="K45" i="9"/>
  <c r="I133" i="14"/>
  <c r="H132" i="14"/>
  <c r="J45" i="9"/>
  <c r="M45" i="18"/>
  <c r="J45" i="18"/>
  <c r="J35" i="18"/>
  <c r="Y30" i="2"/>
  <c r="X31" i="2"/>
  <c r="W34" i="2"/>
  <c r="M34" i="18"/>
  <c r="K34" i="18"/>
  <c r="G46" i="9"/>
  <c r="E134" i="14"/>
  <c r="G134" i="14"/>
  <c r="I46" i="9"/>
  <c r="C134" i="14"/>
  <c r="E46" i="9"/>
  <c r="E8" i="9"/>
  <c r="K46" i="9"/>
  <c r="I134" i="14"/>
  <c r="X34" i="2"/>
  <c r="M35" i="18"/>
  <c r="K35" i="18"/>
  <c r="Y31" i="2"/>
  <c r="J36" i="18"/>
  <c r="Z30" i="2"/>
  <c r="X40" i="2"/>
  <c r="K46" i="18"/>
  <c r="G8" i="9"/>
  <c r="C9" i="9"/>
  <c r="G135" i="14"/>
  <c r="I47" i="9"/>
  <c r="C135" i="14"/>
  <c r="E47" i="9"/>
  <c r="G47" i="9"/>
  <c r="E135" i="14"/>
  <c r="K47" i="9"/>
  <c r="I135" i="14"/>
  <c r="AA30" i="2"/>
  <c r="AA63" i="2"/>
  <c r="AA64" i="2"/>
  <c r="AA67" i="2"/>
  <c r="Z31" i="2"/>
  <c r="J37" i="18"/>
  <c r="X39" i="2"/>
  <c r="K47" i="18"/>
  <c r="Y34" i="2"/>
  <c r="M36" i="18"/>
  <c r="K36" i="18"/>
  <c r="M46" i="18"/>
  <c r="J46" i="18"/>
  <c r="E9" i="9"/>
  <c r="C139" i="14"/>
  <c r="C140" i="14"/>
  <c r="C141" i="14"/>
  <c r="C142" i="14"/>
  <c r="E48" i="9"/>
  <c r="C136" i="14"/>
  <c r="C137" i="14"/>
  <c r="C138" i="14"/>
  <c r="G136" i="14"/>
  <c r="G137" i="14"/>
  <c r="G138" i="14"/>
  <c r="G139" i="14"/>
  <c r="G140" i="14"/>
  <c r="G141" i="14"/>
  <c r="G142" i="14"/>
  <c r="I48" i="9"/>
  <c r="E139" i="14"/>
  <c r="E140" i="14"/>
  <c r="E141" i="14"/>
  <c r="E142" i="14"/>
  <c r="G48" i="9"/>
  <c r="E136" i="14"/>
  <c r="E137" i="14"/>
  <c r="E138" i="14"/>
  <c r="I136" i="14"/>
  <c r="I137" i="14"/>
  <c r="I138" i="14"/>
  <c r="I139" i="14"/>
  <c r="I140" i="14"/>
  <c r="I141" i="14"/>
  <c r="I142" i="14"/>
  <c r="K48" i="9"/>
  <c r="K37" i="18"/>
  <c r="Z34" i="2"/>
  <c r="M37" i="18"/>
  <c r="J39" i="18"/>
  <c r="AB30" i="2"/>
  <c r="AA31" i="2"/>
  <c r="M47" i="18"/>
  <c r="J47" i="18"/>
  <c r="K39" i="18"/>
  <c r="AA34" i="2"/>
  <c r="M39" i="18"/>
  <c r="AB31" i="2"/>
  <c r="J38" i="18"/>
  <c r="AB34" i="2"/>
  <c r="M38" i="18"/>
  <c r="K38" i="18"/>
</calcChain>
</file>

<file path=xl/comments1.xml><?xml version="1.0" encoding="utf-8"?>
<comments xmlns="http://schemas.openxmlformats.org/spreadsheetml/2006/main">
  <authors>
    <author>hollmichel</author>
    <author>Kajo Hollmichel</author>
  </authors>
  <commentList>
    <comment ref="P7" authorId="0">
      <text>
        <r>
          <rPr>
            <b/>
            <sz val="10"/>
            <color indexed="81"/>
            <rFont val="Tahoma"/>
            <family val="2"/>
          </rPr>
          <t>Kajo Hollmichel:
für speielle Beschriftung des Ausdrucks</t>
        </r>
      </text>
    </comment>
    <comment ref="B10" authorId="0">
      <text>
        <r>
          <rPr>
            <b/>
            <sz val="11"/>
            <color indexed="81"/>
            <rFont val="Tahoma"/>
            <family val="2"/>
          </rPr>
          <t>Mast: Hier nichts für beide Geschlecher, bei weiblichen Tieren  w und bei männlichen Tieren (Kastrate) m eingeben!</t>
        </r>
      </text>
    </comment>
    <comment ref="K11" authorId="0">
      <text>
        <r>
          <rPr>
            <b/>
            <sz val="10"/>
            <color indexed="81"/>
            <rFont val="Tahoma"/>
            <family val="2"/>
          </rPr>
          <t>Kajo Hollmichel: Werte nicht alle 100% zuverlässig!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10"/>
            <color indexed="81"/>
            <rFont val="Tahoma"/>
            <family val="2"/>
          </rPr>
          <t>Kajo Hollmichel: Hier unbedingt bei Verwendung von Ergänzern die geschätze Verdaulichkeit (VQ) eingeben! Ergänzer für Ferkel sollten Verdaulichkeiten von ca. 88 - 90 % haben, Mastergänzer von ca. 85 - 88 %, Ergänzer für säugende Sauen ca. 85 % und Ergänzer für tragende Sauen und Jungsauen ca. 80 %!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Zu den Futterkosten sind noch die Lagerkosten von ca. 2 €/dt und die Mahl- und Mischkosten von ca. 0,80 bis 1,50 €/dt hinzu zu addieren um den Rationspreis mit dem Preis von Alleinfutter zu vergleichen zu können.</t>
        </r>
      </text>
    </comment>
    <comment ref="D37" authorId="1">
      <text>
        <r>
          <rPr>
            <b/>
            <sz val="10"/>
            <color indexed="81"/>
            <rFont val="Tahoma"/>
            <family val="2"/>
          </rPr>
          <t>VQ in 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44" authorId="0">
      <text>
        <r>
          <rPr>
            <b/>
            <sz val="9"/>
            <color indexed="81"/>
            <rFont val="Tahoma"/>
            <family val="2"/>
          </rPr>
          <t xml:space="preserve">Kajo Hollmichel: </t>
        </r>
        <r>
          <rPr>
            <sz val="9"/>
            <color indexed="81"/>
            <rFont val="Tahoma"/>
            <family val="2"/>
          </rPr>
          <t>ADF- und NDF-Werte von Ergänzern werden geschätzt. Bei Mehrfach-Nennung eines Einzelfuttermittels in der Tabelle Futtermittel aufgrund unterschiedlicher Proteingehalte werden die ADF- und NDF-Werte  in Korrelation zur Rohfaser gesetzt, so dass je nach XF-Gehalt die Werte leicht differieren.</t>
        </r>
      </text>
    </comment>
    <comment ref="P64" authorId="1">
      <text>
        <r>
          <rPr>
            <b/>
            <sz val="10"/>
            <color indexed="81"/>
            <rFont val="Tahoma"/>
            <family val="2"/>
          </rPr>
          <t>Kajo Hollmichel: bei
Mastschweinen max. 6500 I.E., bei Ferkel max. 16000 I.E., bei Sauem max. 12000 I.E. erlaubt</t>
        </r>
      </text>
    </comment>
    <comment ref="Q64" authorId="0">
      <text>
        <r>
          <rPr>
            <b/>
            <sz val="10"/>
            <color indexed="81"/>
            <rFont val="Tahoma"/>
            <family val="2"/>
          </rPr>
          <t>Kajo Hollmichel: Maximal 2.000 I.E. und bei Ferkeln maximal 10.000 I.E. erlaubt!!!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hollmichel</author>
    <author>Kajo Hollmichel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 xml:space="preserve">13,0 
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12,6 - 13,0
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12,6 - 13,0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12,6 - 13,4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13,0 - 13,4
</t>
        </r>
      </text>
    </comment>
    <comment ref="C6" authorId="1">
      <text>
        <r>
          <rPr>
            <b/>
            <sz val="10"/>
            <color indexed="81"/>
            <rFont val="Tahoma"/>
            <family val="2"/>
          </rPr>
          <t>Hollmichel: Geben Sie hier die Energiegehalte pro kg Futter für die einzelnen Aufzuchabschnitte ein! Die Zuteilungsliste wird dann errechnet.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2">
      <text>
        <r>
          <rPr>
            <b/>
            <sz val="10"/>
            <color indexed="81"/>
            <rFont val="Tahoma"/>
            <family val="2"/>
          </rPr>
          <t xml:space="preserve">Kajo Hollmichel: Zuwachs kann zusätzlich angepasst werden!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hollmichel</author>
    <author>Kajo Hollmichel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 xml:space="preserve">11,8 - 12,6
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11,4 - 12,6
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11,4 - 12,6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11,4 - 11,6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 xml:space="preserve">11,4 - 11,6
</t>
        </r>
      </text>
    </comment>
    <comment ref="C6" authorId="1">
      <text>
        <r>
          <rPr>
            <b/>
            <sz val="10"/>
            <color indexed="81"/>
            <rFont val="Tahoma"/>
            <family val="2"/>
          </rPr>
          <t>Hollmichel: Geben Sie hier die Energiegehalte pro kg Futter für die einzelnen Aufzuchabschnitte ein! Die Zuteilungsliste wird dann errechnet.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2">
      <text>
        <r>
          <rPr>
            <b/>
            <sz val="10"/>
            <color indexed="81"/>
            <rFont val="Tahoma"/>
            <family val="2"/>
          </rPr>
          <t xml:space="preserve">Kajo Hollmichel: Zuwachs kann zusätzlich angepasst werden!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Kajo Hollmichel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>Hollmichel: Zur Benutzung der Autofilter muss der Blattschutz aufgehoben werden.</t>
        </r>
      </text>
    </comment>
    <comment ref="M18" authorId="0">
      <text>
        <r>
          <rPr>
            <b/>
            <sz val="8"/>
            <color indexed="81"/>
            <rFont val="Tahoma"/>
            <family val="2"/>
          </rPr>
          <t>Kajo Hollmichel:
Bei Eingabe der eigenen Futteranalysen: nur Eingabe in den umrandeten Feldern. Rest wird errechnet (MJ ME auch sofern Sie alle Rohnährstoffe eingeben)! Aminosäuren nach Evonik-Schätzformeln (Degussa) von 2011. Die z.Z. eingetragenen Werte sind die hessischen Durchschnittswerte für die Ernte 2016 und 2015 (unterer Wert).</t>
        </r>
      </text>
    </comment>
  </commentList>
</comments>
</file>

<file path=xl/comments3.xml><?xml version="1.0" encoding="utf-8"?>
<comments xmlns="http://schemas.openxmlformats.org/spreadsheetml/2006/main">
  <authors>
    <author>hollmichel</author>
  </authors>
  <commentList>
    <comment ref="M13" authorId="0">
      <text>
        <r>
          <rPr>
            <b/>
            <sz val="8"/>
            <color indexed="81"/>
            <rFont val="Tahoma"/>
            <family val="2"/>
          </rPr>
          <t>Hollmichel: Marktpreise sind von der 36. KW 2007 und aus der 37. KW 2012. Sie können angepaßt werden!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Kajo Hollmichel</author>
    <author>hollmichel</author>
  </authors>
  <commentList>
    <comment ref="AI8" authorId="0">
      <text>
        <r>
          <rPr>
            <b/>
            <sz val="8"/>
            <color indexed="81"/>
            <rFont val="Tahoma"/>
            <family val="2"/>
          </rPr>
          <t>Kajo Hollmichel: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Arial"/>
            <family val="2"/>
          </rPr>
          <t>ADF- und NDF-Werte sind von den Rohfasergehalten abgeleitet! Es handelt sich hier nur um ungefähre Schätzwerte!</t>
        </r>
      </text>
    </comment>
    <comment ref="H16" authorId="1">
      <text>
        <r>
          <rPr>
            <b/>
            <sz val="10"/>
            <color indexed="81"/>
            <rFont val="Tahoma"/>
            <family val="2"/>
          </rPr>
          <t xml:space="preserve">Hollmichel: ME nach MFF wird automatisch bei Eingabe aller Rohnährstoffe berechnet!!!
</t>
        </r>
      </text>
    </comment>
    <comment ref="S16" authorId="1">
      <text>
        <r>
          <rPr>
            <b/>
            <sz val="10"/>
            <color indexed="81"/>
            <rFont val="Tahoma"/>
            <family val="2"/>
          </rPr>
          <t xml:space="preserve">Hollmichel: ME und ME neu wird automatisch durch Eingabe der Rohnährstoffe berechnet!!!
</t>
        </r>
      </text>
    </comment>
  </commentList>
</comments>
</file>

<file path=xl/comments5.xml><?xml version="1.0" encoding="utf-8"?>
<comments xmlns="http://schemas.openxmlformats.org/spreadsheetml/2006/main">
  <authors>
    <author>Kajo Hollmichel</author>
  </authors>
  <commentList>
    <comment ref="X8" authorId="0">
      <text>
        <r>
          <rPr>
            <b/>
            <sz val="10"/>
            <color indexed="81"/>
            <rFont val="Tahoma"/>
            <family val="2"/>
          </rPr>
          <t>Kajo Hollmichel:</t>
        </r>
        <r>
          <rPr>
            <sz val="10"/>
            <color indexed="81"/>
            <rFont val="Tahoma"/>
            <family val="2"/>
          </rPr>
          <t xml:space="preserve">
Die Rohaschegehalte von Mineralfuttern bewegen sich je nach Anteilen an organischer Substanz (z.B. Aminosäurenanteile oder Weizengriesanteile) im Bereich von etwa 600 g bis etwa 850 g/kg Mineralfutter</t>
        </r>
      </text>
    </comment>
  </commentList>
</comments>
</file>

<file path=xl/comments6.xml><?xml version="1.0" encoding="utf-8"?>
<comments xmlns="http://schemas.openxmlformats.org/spreadsheetml/2006/main">
  <authors>
    <author>hollmichel</author>
    <author>Kajo Hollmichel</author>
    <author xml:space="preserve"> 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 xml:space="preserve">Hollmichel: Zur Anzeige der Orientierungswerte männlicher oder weilicher Masttiere in Tabelle Futterberechnung w bzw. m bei Geschlecht eingeben und zur Anzeige der Orientierungswerte von Tieren mit hohem Proteinansatz (auch zur Eberfütterung nach DLG geeignet) in der Tabelle Futterkurve Mast hp eingeben!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Weiße Felder können angepasst werden! Aber vorsicht, Formeln werden u.U. gelöscht!</t>
        </r>
      </text>
    </comment>
    <comment ref="E10" authorId="1">
      <text>
        <r>
          <rPr>
            <b/>
            <sz val="8"/>
            <color indexed="81"/>
            <rFont val="Tahoma"/>
            <family val="2"/>
          </rPr>
          <t>Kajo Hollmichel: XP-Werte für die Mast nach Rechenmeister!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2">
      <text>
        <r>
          <rPr>
            <b/>
            <sz val="9"/>
            <color indexed="81"/>
            <rFont val="Tahoma"/>
            <family val="2"/>
          </rPr>
          <t xml:space="preserve">13,8-14,2 eingeben. 13,8 ist Norm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6" authorId="2">
      <text>
        <r>
          <rPr>
            <b/>
            <sz val="8"/>
            <color indexed="81"/>
            <rFont val="Tahoma"/>
            <family val="2"/>
          </rPr>
          <t>Hollmichel: Weiße Felder können entsprechend der Sollwerte für Rohfaser angepaßt werden!</t>
        </r>
      </text>
    </comment>
    <comment ref="D18" authorId="2">
      <text>
        <r>
          <rPr>
            <b/>
            <sz val="9"/>
            <color indexed="81"/>
            <rFont val="Tahoma"/>
            <family val="2"/>
          </rPr>
          <t xml:space="preserve">13,4-13,8 eingeben. 13,8 ist Norm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family val="2"/>
          </rPr>
          <t xml:space="preserve">13,0-13,8 eingeben. 13,8 ist Norm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" authorId="2">
      <text>
        <r>
          <rPr>
            <b/>
            <sz val="9"/>
            <color indexed="81"/>
            <rFont val="Tahoma"/>
            <family val="2"/>
          </rPr>
          <t xml:space="preserve">13,0-13,8 eingeben. 13,8 bzw. 13,4 ist Norm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" authorId="2">
      <text>
        <r>
          <rPr>
            <b/>
            <sz val="9"/>
            <color indexed="81"/>
            <rFont val="Tahoma"/>
            <family val="2"/>
          </rPr>
          <t xml:space="preserve">13,0-13,4 eingeben. 13 ist Norm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0" authorId="2">
      <text>
        <r>
          <rPr>
            <b/>
            <sz val="9"/>
            <color indexed="81"/>
            <rFont val="Tahoma"/>
            <family val="2"/>
          </rPr>
          <t>Hollmichel: blaue hinterlegte Felder können durch Eingabe in der Tabelle "Futterkurve Mast" entsprechend angepaßt werden! Die Orientierungswerte ändern sich dann adäquat!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MJ ME kann im Bereich von 11,8 bis12,2 MJ angepaßt werden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 xml:space="preserve">120 - 140 g ist Norm bei niedertragenden Sauen
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Norm zwischen 13 und 13,4 MJ ME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3" authorId="0">
      <text>
        <r>
          <rPr>
            <b/>
            <sz val="9"/>
            <color indexed="81"/>
            <rFont val="Tahoma"/>
            <family val="2"/>
          </rPr>
          <t>150 - 180 g ist Norm. 165g bei 13 MJ ME und 175g bei 13,4 MJ ME</t>
        </r>
      </text>
    </comment>
    <comment ref="D101" authorId="1">
      <text>
        <r>
          <rPr>
            <b/>
            <sz val="9"/>
            <color indexed="81"/>
            <rFont val="Tahoma"/>
            <family val="2"/>
          </rPr>
          <t>Hollmichel: Norm ist 12,2 - 13 MJ ME</t>
        </r>
      </text>
    </comment>
    <comment ref="D105" authorId="1">
      <text>
        <r>
          <rPr>
            <b/>
            <sz val="9"/>
            <color indexed="81"/>
            <rFont val="Tahoma"/>
            <family val="2"/>
          </rPr>
          <t>Hollmichel: Norm ist 13 - 13,4 MJ 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0" authorId="1">
      <text>
        <r>
          <rPr>
            <b/>
            <sz val="9"/>
            <color indexed="81"/>
            <rFont val="Tahoma"/>
            <family val="2"/>
          </rPr>
          <t>Hollmichel: Norm ist 11,4 - 12,6 MJ ME</t>
        </r>
      </text>
    </comment>
    <comment ref="D115" authorId="1">
      <text>
        <r>
          <rPr>
            <b/>
            <sz val="9"/>
            <color indexed="81"/>
            <rFont val="Tahoma"/>
            <family val="2"/>
          </rPr>
          <t>Norm ist 11,4 - 11,6 MJ 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Kajo</author>
    <author>hollmichel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 xml:space="preserve">13,0 - 13,8
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13,0 - 13,4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13,0 - 13,4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>12,8 - 13,0</t>
        </r>
      </text>
    </comment>
    <comment ref="Q6" authorId="0">
      <text>
        <r>
          <rPr>
            <b/>
            <sz val="8"/>
            <color indexed="81"/>
            <rFont val="Tahoma"/>
            <family val="2"/>
          </rPr>
          <t>12,8 - 13,0</t>
        </r>
      </text>
    </comment>
    <comment ref="T6" authorId="1">
      <text>
        <r>
          <rPr>
            <b/>
            <sz val="10"/>
            <color indexed="81"/>
            <rFont val="Tahoma"/>
            <family val="2"/>
          </rPr>
          <t>Kajo Hollmichel: Hier HP für die Mast von Tieren mit hohem Proteinansatz bzw. für die Jungebermast eingeben. Futterkurven und Orientierungswerte ändern sich dann entsprechend.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2">
      <text>
        <r>
          <rPr>
            <b/>
            <sz val="10"/>
            <color indexed="81"/>
            <rFont val="Tahoma"/>
            <family val="2"/>
          </rPr>
          <t>Hollmichel: Geben Sie hier die Energiegehalte pro kg Futter für die einzelnen Mastabschnitte ein! Die Zuteilungsliste wird dann errechnet.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b/>
            <sz val="10"/>
            <color indexed="12"/>
            <rFont val="Tahoma"/>
            <family val="2"/>
          </rPr>
          <t>In den türkisen Feldern muß unbedingt eine Eingabe erfolgen, da die Orientierungswerte hiervon abhängen!!!</t>
        </r>
      </text>
    </comment>
  </commentList>
</comments>
</file>

<file path=xl/comments8.xml><?xml version="1.0" encoding="utf-8"?>
<comments xmlns="http://schemas.openxmlformats.org/spreadsheetml/2006/main">
  <authors>
    <author>Kajo Hollmichel</author>
    <author>hollmichel</author>
    <author xml:space="preserve"> </author>
  </authors>
  <commentList>
    <comment ref="C6" authorId="0">
      <text>
        <r>
          <rPr>
            <b/>
            <sz val="10"/>
            <color indexed="81"/>
            <rFont val="Tahoma"/>
            <family val="2"/>
          </rPr>
          <t>Kajo Hollmichel:
Tragen Sie bitte hier in die gelben Felder alle veränderbaren Daten ein! Die Futterkurve wird dann automatisch angepaßt!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Hollmichel: Thermoneutraler Bereich von 14 °C gilt nur für Gruppenhaltung!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" authorId="1">
      <text>
        <r>
          <rPr>
            <b/>
            <sz val="9"/>
            <color indexed="81"/>
            <rFont val="Tahoma"/>
            <family val="2"/>
          </rPr>
          <t>Hollmichel: Schlechte oder zu gute Konditionen erfordern, je nach betrieblichen Gegebenheiten, bis ca. zum 80./85. Tragetag Zu- und Abschläge im Bereich von ca. 0,3 bis 0,6 kg Futter pro Tag! Ist in dieser Futter-kurve bereits über den Lebendmasseverlust berücksichtigt.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2">
      <text>
        <r>
          <rPr>
            <b/>
            <sz val="9"/>
            <color indexed="81"/>
            <rFont val="Tahoma"/>
            <family val="2"/>
          </rPr>
          <t>Hollmichel: Bei hoher Ferkelzahl kann vor allem bei Jungsauen die erforderliche Futtermenge während der Laktation nicht gefüttert werden! Daher unbedingt Prestarter zufüttern um einem zu starken Gewichtsverlust der Sau vorzubeugen.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Hollmichel: Die Temperaturanpassung erfolgt entsprechend der Tierrschutz-Nutztierhal-tungsverordnung: bis max. 28. Tag nach der Belegung Einzelhaltung und frühestens 7 Tage vor der Geburt erneute Einzelhaltung. In der Einzelhaltung braucht die Sau pro °C unter dem thermoneutralen Bereich (Basis 19 °C) 50 g Futter mit 12,2 MJ ME und bei Gruppenhaltung (Basis 14 °C) 25 g Futter mit 12,2 MJ ME mehr.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10"/>
            <color indexed="81"/>
            <rFont val="Tahoma"/>
            <family val="2"/>
          </rPr>
          <t>Hier wird unterstellt, dass bis zur Geburt Tragefutter weiter gefüttert wird!</t>
        </r>
      </text>
    </comment>
    <comment ref="B49" authorId="1">
      <text>
        <r>
          <rPr>
            <b/>
            <sz val="8"/>
            <color indexed="81"/>
            <rFont val="Tahoma"/>
            <family val="2"/>
          </rPr>
          <t>Hollmichel: kg Futter pro Tag ist für Futter für niedertragende Sauen ausgelegt. Besser ist es aber Laktationsfutter oder Eberfutter für die Flushingfütterung zu verwenden bzw. dem Tragefutter Zucker, Traubenzucker oder Weizenschrot beizumengen.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hollmichel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 xml:space="preserve">13,4 - 13,8
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13,0 - 13,8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13,0 - 13,4</t>
        </r>
      </text>
    </comment>
    <comment ref="F6" authorId="1">
      <text>
        <r>
          <rPr>
            <b/>
            <sz val="10"/>
            <color indexed="81"/>
            <rFont val="Tahoma"/>
            <family val="2"/>
          </rPr>
          <t>Hollmichel: Geben Sie hier die Energiegehalte pro kg Futter für die einzelnen Aufzuchtabschnitte ein! Die Zuteilungsliste wird dann errechnet.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<sst xmlns="http://schemas.openxmlformats.org/spreadsheetml/2006/main" count="2535" uniqueCount="1125">
  <si>
    <t>Landesbetrieb Landwirtschaft (LLH)</t>
  </si>
  <si>
    <t>Zentrale Kassel</t>
  </si>
  <si>
    <t>Berater:</t>
  </si>
  <si>
    <t>Betrieb:</t>
  </si>
  <si>
    <t>Futtermischung für:</t>
  </si>
  <si>
    <t>Datum:</t>
  </si>
  <si>
    <t>Tel.Nr.:</t>
  </si>
  <si>
    <t>gültig bis:</t>
  </si>
  <si>
    <t>Roh-protein (XP)</t>
  </si>
  <si>
    <t>Rohfaser (XF)</t>
  </si>
  <si>
    <t>ME **</t>
  </si>
  <si>
    <t>Lysin (Lys)</t>
  </si>
  <si>
    <t>verdaul. Lysin        (dv. Lys)</t>
  </si>
  <si>
    <t>verdaul. P. mit Phytase (vPm.Phyt.)</t>
  </si>
  <si>
    <t xml:space="preserve">ME </t>
  </si>
  <si>
    <t>Lys</t>
  </si>
  <si>
    <t>M + C</t>
  </si>
  <si>
    <t>Thr</t>
  </si>
  <si>
    <t>Ca</t>
  </si>
  <si>
    <t>P</t>
  </si>
  <si>
    <t>v. P</t>
  </si>
  <si>
    <t>Mg</t>
  </si>
  <si>
    <t>Na</t>
  </si>
  <si>
    <t>Futtermittel</t>
  </si>
  <si>
    <t>Anteil</t>
  </si>
  <si>
    <t>Gerste</t>
  </si>
  <si>
    <t>Weizen</t>
  </si>
  <si>
    <t>Summe</t>
  </si>
  <si>
    <t>-</t>
  </si>
  <si>
    <t>%</t>
  </si>
  <si>
    <t>Anteil in g/kg</t>
  </si>
  <si>
    <t>Anteile in g je kg</t>
  </si>
  <si>
    <t>Nr.</t>
  </si>
  <si>
    <t>Proben</t>
  </si>
  <si>
    <t>Trocken-masse (TM)</t>
  </si>
  <si>
    <t>in % *</t>
  </si>
  <si>
    <t>g</t>
  </si>
  <si>
    <t>MJ</t>
  </si>
  <si>
    <t>Getreide</t>
  </si>
  <si>
    <t>G E H A L T E     J E     K G     F U T T E R M I T T E L</t>
  </si>
  <si>
    <t xml:space="preserve">Gerste </t>
  </si>
  <si>
    <t>4</t>
  </si>
  <si>
    <t>30</t>
  </si>
  <si>
    <t>2</t>
  </si>
  <si>
    <t xml:space="preserve">Hafer </t>
  </si>
  <si>
    <t xml:space="preserve">Roggen </t>
  </si>
  <si>
    <t>41</t>
  </si>
  <si>
    <t>8</t>
  </si>
  <si>
    <t>Triticale</t>
  </si>
  <si>
    <t>3</t>
  </si>
  <si>
    <t>14</t>
  </si>
  <si>
    <t xml:space="preserve">Weizen </t>
  </si>
  <si>
    <t>37</t>
  </si>
  <si>
    <t>55</t>
  </si>
  <si>
    <t>6</t>
  </si>
  <si>
    <t xml:space="preserve">Ackerbohnen </t>
  </si>
  <si>
    <t xml:space="preserve">Erbsen </t>
  </si>
  <si>
    <t>10</t>
  </si>
  <si>
    <t>69</t>
  </si>
  <si>
    <t>31</t>
  </si>
  <si>
    <t>Fischmehl</t>
  </si>
  <si>
    <t>Kartoffeleiweiß</t>
  </si>
  <si>
    <t>Malzkeime</t>
  </si>
  <si>
    <t>1</t>
  </si>
  <si>
    <t>33</t>
  </si>
  <si>
    <t>42</t>
  </si>
  <si>
    <t>24</t>
  </si>
  <si>
    <t>Sojaschrot HP</t>
  </si>
  <si>
    <t>11</t>
  </si>
  <si>
    <t>23</t>
  </si>
  <si>
    <t>Aminosäuren***</t>
  </si>
  <si>
    <t>L-Lysin-HCL</t>
  </si>
  <si>
    <t>Methionin (DL-Meth.)</t>
  </si>
  <si>
    <t>Thr (L-Thr.)</t>
  </si>
  <si>
    <t>Tryptophan (L-Try.)</t>
  </si>
  <si>
    <t>Sonstige Futtermittel</t>
  </si>
  <si>
    <t>Melasseschnitzel</t>
  </si>
  <si>
    <t>Weizenkleie</t>
  </si>
  <si>
    <t>* Häufigkeitsverteilung hessischer Proben</t>
  </si>
  <si>
    <t>***nach INRA Tab. 2004 (Rohproteinäquivalente; N * 6,25)</t>
  </si>
  <si>
    <t xml:space="preserve">  </t>
  </si>
  <si>
    <t>Landesbetrieb Landwirtschaft Hessen (LLH)</t>
  </si>
  <si>
    <t>ME</t>
  </si>
  <si>
    <t>M+C**</t>
  </si>
  <si>
    <t>vP</t>
  </si>
  <si>
    <t>für</t>
  </si>
  <si>
    <t>MJ/kg</t>
  </si>
  <si>
    <t>****</t>
  </si>
  <si>
    <t>Ferkel I</t>
  </si>
  <si>
    <t>Ferkel II</t>
  </si>
  <si>
    <t>Mastschweine</t>
  </si>
  <si>
    <t>Vormast</t>
  </si>
  <si>
    <t>28 - 40 Kg LM</t>
  </si>
  <si>
    <t>Anfangsmast (Gehalte wie bei Universalmast)</t>
  </si>
  <si>
    <t>Endmast</t>
  </si>
  <si>
    <t>Mittelmast</t>
  </si>
  <si>
    <t>***</t>
  </si>
  <si>
    <t>(in jedem Fall die deklarierten Inhaltsstoffangaben beachten)</t>
  </si>
  <si>
    <t>in 1000 g Futtermittel</t>
  </si>
  <si>
    <t>RP</t>
  </si>
  <si>
    <t>Rfa</t>
  </si>
  <si>
    <t xml:space="preserve">     P   </t>
  </si>
  <si>
    <t>Rationsanteil</t>
  </si>
  <si>
    <t>im Trockenfutter</t>
  </si>
  <si>
    <t>alle Ergänzungsfuttermittel mit Phytase!</t>
  </si>
  <si>
    <t xml:space="preserve">g </t>
  </si>
  <si>
    <t>g *</t>
  </si>
  <si>
    <t>g **</t>
  </si>
  <si>
    <t>% *</t>
  </si>
  <si>
    <t>Eiweißr. Ergf. für Mastschweine</t>
  </si>
  <si>
    <t>380</t>
  </si>
  <si>
    <t>45</t>
  </si>
  <si>
    <t>12,6</t>
  </si>
  <si>
    <t>14,5</t>
  </si>
  <si>
    <t>5,1</t>
  </si>
  <si>
    <t>32,0</t>
  </si>
  <si>
    <t>9,0</t>
  </si>
  <si>
    <t>5,3</t>
  </si>
  <si>
    <t>Ergf. für tragende Zuchtsauen</t>
  </si>
  <si>
    <t>890</t>
  </si>
  <si>
    <t>190</t>
  </si>
  <si>
    <t>10,6</t>
  </si>
  <si>
    <t>7,4</t>
  </si>
  <si>
    <t>2,5</t>
  </si>
  <si>
    <t>20,5</t>
  </si>
  <si>
    <t>8,0</t>
  </si>
  <si>
    <t>6,6</t>
  </si>
  <si>
    <t>Ergf. für laktierende Zuchtsauen</t>
  </si>
  <si>
    <t>270</t>
  </si>
  <si>
    <t>20</t>
  </si>
  <si>
    <t>10,1</t>
  </si>
  <si>
    <t>3,2</t>
  </si>
  <si>
    <t>8,5</t>
  </si>
  <si>
    <t>6,1</t>
  </si>
  <si>
    <t>40</t>
  </si>
  <si>
    <t>Eiweißr. Ergf. für Zuchtsauen</t>
  </si>
  <si>
    <t>15,5</t>
  </si>
  <si>
    <t>4,7</t>
  </si>
  <si>
    <t>Ergänzungsfutter für Ferkel</t>
  </si>
  <si>
    <t>310</t>
  </si>
  <si>
    <t>13,4</t>
  </si>
  <si>
    <t>13</t>
  </si>
  <si>
    <t>3,6</t>
  </si>
  <si>
    <t>22</t>
  </si>
  <si>
    <t>Mineralfutter für Mastschweine ***</t>
  </si>
  <si>
    <t>960</t>
  </si>
  <si>
    <t>15</t>
  </si>
  <si>
    <t>220</t>
  </si>
  <si>
    <t>50</t>
  </si>
  <si>
    <t>Mineralfutter für Ferkel ***</t>
  </si>
  <si>
    <t>170</t>
  </si>
  <si>
    <t>32</t>
  </si>
  <si>
    <t>Mineralfutter für Zuchtsauen ***</t>
  </si>
  <si>
    <t>210</t>
  </si>
  <si>
    <t>*     Mittel- bzw. repräsentative Werte der vergleichenden Mischfuttertests in der Region Hessen, Rheinland-Pfalz und Saarland in 2005 &amp; 2006</t>
  </si>
  <si>
    <t>**   Auf Anfrage teilt der Mischfutterhersteller den genauen Gehalt an vP mit.</t>
  </si>
  <si>
    <t xml:space="preserve">  ±  0,16 g/kg</t>
  </si>
  <si>
    <t>TM</t>
  </si>
  <si>
    <t>NR.</t>
  </si>
  <si>
    <t>5</t>
  </si>
  <si>
    <t>Empfohlene Höchstanteile verschiedener Einzelfuttermittel in Alleinfutter</t>
  </si>
  <si>
    <t>Ferkel</t>
  </si>
  <si>
    <t>Zucht</t>
  </si>
  <si>
    <t>Mast</t>
  </si>
  <si>
    <t>Trockenfutter:</t>
  </si>
  <si>
    <t>Feucht-, Fließfutter:</t>
  </si>
  <si>
    <t>Ackerbohnen</t>
  </si>
  <si>
    <t>/</t>
  </si>
  <si>
    <t>15-20</t>
  </si>
  <si>
    <t>CCM</t>
  </si>
  <si>
    <t>Backabfälle, Brot</t>
  </si>
  <si>
    <t>Kartoffel, gedämpft</t>
  </si>
  <si>
    <t>Bierhefe getrocknet</t>
  </si>
  <si>
    <t>Kartoffel, roh</t>
  </si>
  <si>
    <t>Biertreber</t>
  </si>
  <si>
    <t>Maiskornsilage</t>
  </si>
  <si>
    <t>5-10</t>
  </si>
  <si>
    <t>25</t>
  </si>
  <si>
    <t>Naß-/Preßschnitzel</t>
  </si>
  <si>
    <t>Futterzucker</t>
  </si>
  <si>
    <t>Schlempen</t>
  </si>
  <si>
    <t>o. B.</t>
  </si>
  <si>
    <t>Zuckerrüben frisch</t>
  </si>
  <si>
    <t>Grascobs</t>
  </si>
  <si>
    <t>Hafer</t>
  </si>
  <si>
    <t>Leinkuchen</t>
  </si>
  <si>
    <t>Leinsamen</t>
  </si>
  <si>
    <t>Leinschrot</t>
  </si>
  <si>
    <t>Luzernecobs</t>
  </si>
  <si>
    <t>Maiskleber</t>
  </si>
  <si>
    <t>Maiskörner</t>
  </si>
  <si>
    <t>DL-Methionin</t>
  </si>
  <si>
    <t>L-Threonin</t>
  </si>
  <si>
    <t>Tryptophan</t>
  </si>
  <si>
    <t>Molkepulver</t>
  </si>
  <si>
    <t>7-10</t>
  </si>
  <si>
    <t>2-3</t>
  </si>
  <si>
    <t>10-15</t>
  </si>
  <si>
    <t>Roggen</t>
  </si>
  <si>
    <t>Roggenkleie</t>
  </si>
  <si>
    <t>Sonnenblumenkuchen</t>
  </si>
  <si>
    <t>Sonnenblumenschrot</t>
  </si>
  <si>
    <t>Sojaschrot &amp; HP-S.</t>
  </si>
  <si>
    <t>20-25</t>
  </si>
  <si>
    <t>Sonnenblumen</t>
  </si>
  <si>
    <t>Weizenfuttermehl</t>
  </si>
  <si>
    <t xml:space="preserve">o. B. = ohne Beschränkungen </t>
  </si>
  <si>
    <t>FM-Nr.</t>
  </si>
  <si>
    <t>Mineralfutter</t>
  </si>
  <si>
    <t xml:space="preserve">Ergänzungsfutter </t>
  </si>
  <si>
    <t>EF-Nr.</t>
  </si>
  <si>
    <t>Preis</t>
  </si>
  <si>
    <t>Anteil %</t>
  </si>
  <si>
    <t>RP Mineralfutter nach INRA Tab. 2004 (Rohproteinäquivalente der Aminosäuren) und ME der AS im Mineralfutter nach Mischfuttermittelformel</t>
  </si>
  <si>
    <t>→</t>
  </si>
  <si>
    <t>XP* in 1 kg</t>
  </si>
  <si>
    <t>% im Minfu</t>
  </si>
  <si>
    <t>hier Eingabe</t>
  </si>
  <si>
    <t>Ergebnis</t>
  </si>
  <si>
    <t>g XP/kg Min.fu.</t>
  </si>
  <si>
    <t>* Rohproteinäquivalente</t>
  </si>
  <si>
    <t>MJ ME** in 1 kg</t>
  </si>
  <si>
    <t>MJ ME/kg Min.fu.</t>
  </si>
  <si>
    <t>Mg***</t>
  </si>
  <si>
    <t>g*</t>
  </si>
  <si>
    <t>……………………………</t>
  </si>
  <si>
    <t>€/dt</t>
  </si>
  <si>
    <t>M&amp;C</t>
  </si>
  <si>
    <t>Lys / ME</t>
  </si>
  <si>
    <t>Ca / P</t>
  </si>
  <si>
    <t>Ca / vP</t>
  </si>
  <si>
    <t>Aminosäurerelation</t>
  </si>
  <si>
    <t>1:</t>
  </si>
  <si>
    <t>Lys/ME</t>
  </si>
  <si>
    <t>g / MJ</t>
  </si>
  <si>
    <t>OW-Nr.</t>
  </si>
  <si>
    <t>:1</t>
  </si>
  <si>
    <t>für Schweine in % bezogen auf lufttrockenes Futter bzw. 880 g TM</t>
  </si>
  <si>
    <t>Threonin (L-Thr.)</t>
  </si>
  <si>
    <t>Berechnung der Preiswürdigkeit von Einzelfuttermitteln für Schweine nach der Austauschmethode Löhr.</t>
  </si>
  <si>
    <t>Preis in €/dt</t>
  </si>
  <si>
    <t xml:space="preserve">Hierzu werden die Energie MJ ME und das dünndarmverdauliche (dv oder pcv = praecaecal verdauliche) Lysin als wertbestimmende </t>
  </si>
  <si>
    <t xml:space="preserve">Inhaltsstoffe berücksichtigt. Als Vergleichsfuttermittel wird hier Weizen (Gerste auch möglich!) als typisches Energiefuttermittel und </t>
  </si>
  <si>
    <t>pcv Lys</t>
  </si>
  <si>
    <t>pcv Thr</t>
  </si>
  <si>
    <t>pcv Lys/ME</t>
  </si>
  <si>
    <t>vd. Roh-protein (XP)</t>
  </si>
  <si>
    <t>Geschlecht</t>
  </si>
  <si>
    <t>in der Mischung</t>
  </si>
  <si>
    <t>Summe auf 88% TM umgerechnet</t>
  </si>
  <si>
    <t>Differenz Mischung zu Orientierungswert</t>
  </si>
  <si>
    <t>Lupinen blau</t>
  </si>
  <si>
    <t>Lupinen weiß</t>
  </si>
  <si>
    <t>Lupinen gelb</t>
  </si>
  <si>
    <t>Süßmolke, frisch</t>
  </si>
  <si>
    <t>in %</t>
  </si>
  <si>
    <t>Gewicht</t>
  </si>
  <si>
    <t>kg</t>
  </si>
  <si>
    <t>TZ</t>
  </si>
  <si>
    <t>MJ/Tag</t>
  </si>
  <si>
    <t>g/Tag</t>
  </si>
  <si>
    <t>MJ/kg Futter</t>
  </si>
  <si>
    <t>Futter</t>
  </si>
  <si>
    <t>g/kg</t>
  </si>
  <si>
    <t xml:space="preserve">tr. </t>
  </si>
  <si>
    <t>säug.</t>
  </si>
  <si>
    <t>EM</t>
  </si>
  <si>
    <t>AM</t>
  </si>
  <si>
    <t>&lt; 15 kg</t>
  </si>
  <si>
    <t>&gt; 15 kg</t>
  </si>
  <si>
    <t>60</t>
  </si>
  <si>
    <t>1-1,5</t>
  </si>
  <si>
    <t>Süßlupine blau</t>
  </si>
  <si>
    <t>Süßlupine gelb</t>
  </si>
  <si>
    <t>Süßlupine weiß</t>
  </si>
  <si>
    <t>35</t>
  </si>
  <si>
    <t>0 - 0,5</t>
  </si>
  <si>
    <t>Reinglycerin 99,5 - 99,9 %</t>
  </si>
  <si>
    <t>Rohglycerin 80 - 82 %</t>
  </si>
  <si>
    <t>Austausch-Preis</t>
  </si>
  <si>
    <t>Trocken-masse                        (TM)</t>
  </si>
  <si>
    <t>Rohprotein                  (XP)</t>
  </si>
  <si>
    <t>vd. Roh-protein                     (XP)</t>
  </si>
  <si>
    <t>Lysin                              (Lys)</t>
  </si>
  <si>
    <t>Methionin &amp; Cystin                  (M &amp; C)</t>
  </si>
  <si>
    <t>verdaul. Phosphor               (v. P)</t>
  </si>
  <si>
    <t>Orientierungswerte für die Berechnung von Futtermischungen für Schweine</t>
  </si>
  <si>
    <t>eigenes CCM</t>
  </si>
  <si>
    <t>eigene Gerste</t>
  </si>
  <si>
    <t>eigener Hafer</t>
  </si>
  <si>
    <t>eigener Roggen</t>
  </si>
  <si>
    <t>eigene Triticale</t>
  </si>
  <si>
    <t>eigener Weizen</t>
  </si>
  <si>
    <t>eigene Erbsen</t>
  </si>
  <si>
    <t>eigene Ackerbohnen</t>
  </si>
  <si>
    <t>Rapsschrot-00Typ (RES)</t>
  </si>
  <si>
    <t>eigene Weizenkleie</t>
  </si>
  <si>
    <t>eigenes Kartoffeleiweiß</t>
  </si>
  <si>
    <t>eigenes Grünmehl</t>
  </si>
  <si>
    <t>Bierhefe, getrocknet</t>
  </si>
  <si>
    <t>MJ ME AM            ab 40 kg</t>
  </si>
  <si>
    <t>MJ ME MM          ab 60 kg</t>
  </si>
  <si>
    <t>MJ ME MM                  ab 70 kg</t>
  </si>
  <si>
    <t>MJ ME EM              ab 90 kg</t>
  </si>
  <si>
    <t>Tag</t>
  </si>
  <si>
    <t>Anzahl Ferkel</t>
  </si>
  <si>
    <t>Anzahl Ferkel Jungsau</t>
  </si>
  <si>
    <t>Geburt</t>
  </si>
  <si>
    <t>Laktation</t>
  </si>
  <si>
    <t>Güst</t>
  </si>
  <si>
    <t>Phase</t>
  </si>
  <si>
    <t>Geburts-vorberei-tungsphase kann geändert werden</t>
  </si>
  <si>
    <t>Natrium               (Na)</t>
  </si>
  <si>
    <t>&lt; 45</t>
  </si>
  <si>
    <t>40 - 50</t>
  </si>
  <si>
    <t>Soll Roh-faser</t>
  </si>
  <si>
    <t>Norm 13,4</t>
  </si>
  <si>
    <t>Norm 13,0</t>
  </si>
  <si>
    <t>MJ ME pro kg Futter für lak-tierende Sau-en normal 13,0-13,4 MJ</t>
  </si>
  <si>
    <t>38 - 50</t>
  </si>
  <si>
    <t>Übergangs-phase</t>
  </si>
  <si>
    <t>Anfütter-rungsphase: Jungsauen + 0,4 kg/Tag Sauen + 0,5 kg/Tag. Alle 3 Tage mit Steigerung der Futtermenge einen Tag ausetzen!</t>
  </si>
  <si>
    <t>Roh-faser XF</t>
  </si>
  <si>
    <t xml:space="preserve">  ±  0,12 g/kg</t>
  </si>
  <si>
    <t>kg Wurfzuwachs pro Tag</t>
  </si>
  <si>
    <t>Lebendmasse-verlust der Sau während der Laktation (ca. 10-20 kg)</t>
  </si>
  <si>
    <t>Lebendmasse-verlust der Jungsau wäh-rend der Lak-tation ca 10kg</t>
  </si>
  <si>
    <r>
      <t xml:space="preserve">hochtragend </t>
    </r>
    <r>
      <rPr>
        <b/>
        <sz val="10"/>
        <color indexed="10"/>
        <rFont val="Arial"/>
        <family val="2"/>
      </rPr>
      <t>108. Tag Umstallung!</t>
    </r>
  </si>
  <si>
    <t>Futterkurve für Sauen nach GFE 2006</t>
  </si>
  <si>
    <r>
      <t>niedertragend (</t>
    </r>
    <r>
      <rPr>
        <b/>
        <sz val="10"/>
        <color indexed="10"/>
        <rFont val="Arial"/>
        <family val="2"/>
      </rPr>
      <t>nach 28 Tagen Umstallung</t>
    </r>
    <r>
      <rPr>
        <b/>
        <sz val="10"/>
        <color indexed="8"/>
        <rFont val="Arial"/>
        <family val="2"/>
      </rPr>
      <t>)</t>
    </r>
  </si>
  <si>
    <t>Trp</t>
  </si>
  <si>
    <t>eigene Gerste 2</t>
  </si>
  <si>
    <t>eigener Weizen 2</t>
  </si>
  <si>
    <t>Glycerin</t>
  </si>
  <si>
    <t>……………………………………………………….</t>
  </si>
  <si>
    <t>Magermilchpulver</t>
  </si>
  <si>
    <t>eigenes Fischmehl</t>
  </si>
  <si>
    <t>Ameisensäure</t>
  </si>
  <si>
    <t>Propionsäure</t>
  </si>
  <si>
    <r>
      <t xml:space="preserve">Sojaschrot, </t>
    </r>
    <r>
      <rPr>
        <sz val="6"/>
        <rFont val="Arial"/>
        <family val="2"/>
      </rPr>
      <t>schalenreich</t>
    </r>
  </si>
  <si>
    <t>Süßmolke 88 % TM</t>
  </si>
  <si>
    <t>Rapskuchen  &gt; 20 % Fett</t>
  </si>
  <si>
    <t>Rapskuchen 16 - 20 % Fett</t>
  </si>
  <si>
    <t>Rapskuchen 12 - 16 % Fett</t>
  </si>
  <si>
    <t>Rapskuchen   8 - 12 % Fett</t>
  </si>
  <si>
    <t>Rohfaser         (XF)</t>
  </si>
  <si>
    <t xml:space="preserve">Threonin             (Thr) </t>
  </si>
  <si>
    <t>Tryptophan              (Trp)</t>
  </si>
  <si>
    <t>Calcium          (Ca)</t>
  </si>
  <si>
    <t>Phosphor            (P)</t>
  </si>
  <si>
    <t>Magnesium            (Mg)</t>
  </si>
  <si>
    <t>Kalium               (K)</t>
  </si>
  <si>
    <t>*</t>
  </si>
  <si>
    <t>mittlere tägliche Zunahme im Abschnitt von 28 bis 120 kg Lebendmasse</t>
  </si>
  <si>
    <t>**</t>
  </si>
  <si>
    <r>
      <t xml:space="preserve">eigene Lupinen </t>
    </r>
    <r>
      <rPr>
        <b/>
        <sz val="6"/>
        <rFont val="Arial"/>
        <family val="2"/>
      </rPr>
      <t>(blau)</t>
    </r>
  </si>
  <si>
    <t>eigenes Rapsschrot</t>
  </si>
  <si>
    <t>eigenes Sojaschrot</t>
  </si>
  <si>
    <t>Futtermittel zusammengefasst</t>
  </si>
  <si>
    <t>Futtermittel + % RP in der FM</t>
  </si>
  <si>
    <t>VQ in %</t>
  </si>
  <si>
    <t>opt. Mineralfutter in g/kg:</t>
  </si>
  <si>
    <t>opt. Ergänzungsfutter in g/kg:</t>
  </si>
  <si>
    <t>erforderliches Mineral- oder Ergänzungsfutter</t>
  </si>
  <si>
    <t>pcv VQ Lys</t>
  </si>
  <si>
    <t>pcv M+C</t>
  </si>
  <si>
    <t>pcv Trp</t>
  </si>
  <si>
    <r>
      <t>Roh-pro-tein</t>
    </r>
    <r>
      <rPr>
        <b/>
        <sz val="10"/>
        <rFont val="Arial"/>
        <family val="2"/>
      </rPr>
      <t xml:space="preserve"> XP</t>
    </r>
  </si>
  <si>
    <t>pcv XP</t>
  </si>
  <si>
    <t xml:space="preserve"> pcv Lys/ ME</t>
  </si>
  <si>
    <t>Vitamine</t>
  </si>
  <si>
    <t>Zuchtsauen</t>
  </si>
  <si>
    <t>a) tragende Sauen</t>
  </si>
  <si>
    <t>I.E.</t>
  </si>
  <si>
    <t>150-200</t>
  </si>
  <si>
    <t>150 - 200</t>
  </si>
  <si>
    <t>E</t>
  </si>
  <si>
    <t>mg</t>
  </si>
  <si>
    <t>mcg</t>
  </si>
  <si>
    <t>Biotin</t>
  </si>
  <si>
    <t>Cholin</t>
  </si>
  <si>
    <t>Folsäure</t>
  </si>
  <si>
    <t>Panthothensäure</t>
  </si>
  <si>
    <t>Spurenelemente</t>
  </si>
  <si>
    <t>50 - 60</t>
  </si>
  <si>
    <t>4 - 5</t>
  </si>
  <si>
    <t>80 - 100</t>
  </si>
  <si>
    <t>20 - 25</t>
  </si>
  <si>
    <t>0,15 - 0,20</t>
  </si>
  <si>
    <t>* Vitamin A</t>
  </si>
  <si>
    <t>* Vitamin D</t>
  </si>
  <si>
    <t>* Eisen</t>
  </si>
  <si>
    <t>* Kupfer</t>
  </si>
  <si>
    <t>* Zink</t>
  </si>
  <si>
    <t>* Mangan</t>
  </si>
  <si>
    <t>max. 150 mg</t>
  </si>
  <si>
    <t>* Jod</t>
  </si>
  <si>
    <t>max. 10 mg</t>
  </si>
  <si>
    <t>* Selen</t>
  </si>
  <si>
    <t>Saugferkel</t>
  </si>
  <si>
    <t>Aufzuchtferkel</t>
  </si>
  <si>
    <t>Anfangsmast</t>
  </si>
  <si>
    <r>
      <t>4000</t>
    </r>
    <r>
      <rPr>
        <vertAlign val="superscript"/>
        <sz val="8"/>
        <rFont val="Arial"/>
        <family val="2"/>
      </rPr>
      <t xml:space="preserve">a) </t>
    </r>
    <r>
      <rPr>
        <sz val="8"/>
        <rFont val="Arial"/>
        <family val="2"/>
      </rPr>
      <t>- 2300</t>
    </r>
    <r>
      <rPr>
        <vertAlign val="superscript"/>
        <sz val="8"/>
        <rFont val="Arial"/>
        <family val="2"/>
      </rPr>
      <t>b)</t>
    </r>
  </si>
  <si>
    <t>b) laktierende Sauen</t>
  </si>
  <si>
    <r>
      <t xml:space="preserve">Rapskuchen </t>
    </r>
    <r>
      <rPr>
        <vertAlign val="superscript"/>
        <sz val="10"/>
        <rFont val="Arial"/>
        <family val="2"/>
      </rPr>
      <t>3)</t>
    </r>
  </si>
  <si>
    <r>
      <t xml:space="preserve">Rapsschrot </t>
    </r>
    <r>
      <rPr>
        <vertAlign val="superscript"/>
        <sz val="10"/>
        <rFont val="Arial"/>
        <family val="2"/>
      </rPr>
      <t>3)</t>
    </r>
  </si>
  <si>
    <r>
      <t xml:space="preserve">Rapsöl </t>
    </r>
    <r>
      <rPr>
        <vertAlign val="superscript"/>
        <sz val="10"/>
        <rFont val="Arial"/>
        <family val="2"/>
      </rPr>
      <t>2)</t>
    </r>
  </si>
  <si>
    <r>
      <t xml:space="preserve">Rapssamen </t>
    </r>
    <r>
      <rPr>
        <vertAlign val="superscript"/>
        <sz val="10"/>
        <rFont val="Arial"/>
        <family val="2"/>
      </rPr>
      <t>2)</t>
    </r>
  </si>
  <si>
    <r>
      <t xml:space="preserve">2) </t>
    </r>
    <r>
      <rPr>
        <sz val="10"/>
        <rFont val="Arial"/>
      </rPr>
      <t>bei maisfreien Mischungen sowie alternativ</t>
    </r>
  </si>
  <si>
    <r>
      <t>3)</t>
    </r>
    <r>
      <rPr>
        <sz val="10"/>
        <rFont val="Arial"/>
      </rPr>
      <t xml:space="preserve"> wenn der Glucosinolatgehalt unbekannt ist, sollte sich die Dosierung eher an der unteren Grenze bewegen </t>
    </r>
  </si>
  <si>
    <r>
      <t>1)</t>
    </r>
    <r>
      <rPr>
        <sz val="10"/>
        <rFont val="Arial"/>
      </rPr>
      <t xml:space="preserve"> bei mehr als 25 % in der Trockenfuttermischung kann durch starke Quellung der Futterbrei nicht mehr pumpfähig sein!</t>
    </r>
  </si>
  <si>
    <r>
      <t xml:space="preserve">Erbsen </t>
    </r>
    <r>
      <rPr>
        <vertAlign val="superscript"/>
        <sz val="10"/>
        <rFont val="Arial"/>
        <family val="2"/>
      </rPr>
      <t>1)</t>
    </r>
  </si>
  <si>
    <t>25-40</t>
  </si>
  <si>
    <t>Quelle: am Feb. 2009 aktuelle UFOP-Praxisinformationen, futtermit-</t>
  </si>
  <si>
    <t xml:space="preserve">telspezifische Restriktionen vom AK "Futter und Fütterung im </t>
  </si>
  <si>
    <t>Marktübliche Höchstgehalte bezogen auf 96 % TM</t>
  </si>
  <si>
    <r>
      <t xml:space="preserve">4) </t>
    </r>
    <r>
      <rPr>
        <sz val="10"/>
        <rFont val="Arial"/>
      </rPr>
      <t>12 % i.d.R nur bei RAM-Fütterung</t>
    </r>
  </si>
  <si>
    <t>15 - 28</t>
  </si>
  <si>
    <t>30 - 40</t>
  </si>
  <si>
    <t>10 - 25</t>
  </si>
  <si>
    <t>34 - 35</t>
  </si>
  <si>
    <t>2 - 3,5</t>
  </si>
  <si>
    <t>3 - 5</t>
  </si>
  <si>
    <t>2,5 - 4</t>
  </si>
  <si>
    <t>v. P m. Phy</t>
  </si>
  <si>
    <t>Absetzfutter</t>
  </si>
  <si>
    <t>Saugferkel 5 - 8 kg LM  - Prestarter</t>
  </si>
  <si>
    <t>Ferkel 8 - 12 kg LM - Absetzfutter</t>
  </si>
  <si>
    <t>Ferkel 8 - 12 kg LM - Diät-Absetzfutter</t>
  </si>
  <si>
    <t>Diät-Absetzfutter</t>
  </si>
  <si>
    <t>&gt; 40</t>
  </si>
  <si>
    <t>bei Fütterungsstrategien zur Vorbeugung von Durchfällen sind für einen begrenzten Zeitraum neben anderen Fütterungsmaßnahmen geringere Gehalte ratsam.</t>
  </si>
  <si>
    <t>Eingliederungsphase</t>
  </si>
  <si>
    <t>Jungsauen</t>
  </si>
  <si>
    <t>Aufzuchtphase</t>
  </si>
  <si>
    <t>Ca***</t>
  </si>
  <si>
    <t>P***</t>
  </si>
  <si>
    <t>vd. RP</t>
  </si>
  <si>
    <t>Jungsauen 95 - 120 kg LM für 700 g TZ</t>
  </si>
  <si>
    <t>40 - 80</t>
  </si>
  <si>
    <t>Roh-faser****</t>
  </si>
  <si>
    <t>bei tragenden Sauen muss nach der Tierschutz-Nutztierhaltungsverordnung mindestens 8 % Rohfaser  in der Trockenmasse enthalten sein (7,04 % in 88% TM) oder es ist so zu füttern, dass mindestens 200 g Rohfaser je Tier und Tag aufgenommen werden.</t>
  </si>
  <si>
    <t>davon mindestens 50 % Methionin</t>
  </si>
  <si>
    <t>und Zuchtläufer</t>
  </si>
  <si>
    <t>Temperatur im Stall - Abferkelung Basis 19 °C</t>
  </si>
  <si>
    <t>Temperatur im Stall - Deckzentrum Basis 19 °C</t>
  </si>
  <si>
    <t>MJ ME pro kg Futter für hochtragende Sauen normal 11,8-12,2 MJ</t>
  </si>
  <si>
    <t>MJ ME pro kg Futter für niedertragen-de Sauen                 11,8-12,2 MJ</t>
  </si>
  <si>
    <t>Temperatur im Stall - Wartebereich              Basis 14 °C</t>
  </si>
  <si>
    <t>tägliche Zunahmen</t>
  </si>
  <si>
    <t>Gewicht Wochenende</t>
  </si>
  <si>
    <t>Energieaufnahme</t>
  </si>
  <si>
    <t>Futteraufnahme</t>
  </si>
  <si>
    <t>pcv Lysin</t>
  </si>
  <si>
    <t>Brutto Lysin</t>
  </si>
  <si>
    <t>MJ ME / Tag</t>
  </si>
  <si>
    <t>g / Tag</t>
  </si>
  <si>
    <t>g / MJ ME</t>
  </si>
  <si>
    <t>Lebens-woche</t>
  </si>
  <si>
    <t>1.</t>
  </si>
  <si>
    <t>2.</t>
  </si>
  <si>
    <t>3.</t>
  </si>
  <si>
    <t>(25. Tag)</t>
  </si>
  <si>
    <t>5.</t>
  </si>
  <si>
    <t>6.</t>
  </si>
  <si>
    <t>7.</t>
  </si>
  <si>
    <t>8.</t>
  </si>
  <si>
    <t>9.</t>
  </si>
  <si>
    <t>10.</t>
  </si>
  <si>
    <t>Absetzen</t>
  </si>
  <si>
    <t>20 - 50</t>
  </si>
  <si>
    <t>Futterverwertung</t>
  </si>
  <si>
    <t>kg Futter/kg Zuwachs</t>
  </si>
  <si>
    <r>
      <t xml:space="preserve">g / Tag </t>
    </r>
    <r>
      <rPr>
        <b/>
        <vertAlign val="superscript"/>
        <sz val="10"/>
        <rFont val="Arial"/>
        <family val="2"/>
      </rPr>
      <t>3)</t>
    </r>
  </si>
  <si>
    <t>Lys / 100g RP</t>
  </si>
  <si>
    <t>Empfehlungen zur Nährstoffversorgung von Ferkeln für mittlere und hohe Tageszunahmen in der Aufzucht (DLG 2008 ergänzt)</t>
  </si>
  <si>
    <r>
      <t xml:space="preserve">4. </t>
    </r>
    <r>
      <rPr>
        <b/>
        <vertAlign val="superscript"/>
        <sz val="10"/>
        <rFont val="Arial"/>
        <family val="2"/>
      </rPr>
      <t>1)</t>
    </r>
  </si>
  <si>
    <r>
      <t xml:space="preserve">4. </t>
    </r>
    <r>
      <rPr>
        <b/>
        <vertAlign val="superscript"/>
        <sz val="10"/>
        <rFont val="Arial"/>
        <family val="2"/>
      </rPr>
      <t>2)</t>
    </r>
  </si>
  <si>
    <t>Leitungsniveau (durschnschnittliche Tageszunahmen in g nach dem Absetzen)</t>
  </si>
  <si>
    <t>Norm 13,8</t>
  </si>
  <si>
    <t>Norm 13</t>
  </si>
  <si>
    <t>kg / Woche</t>
  </si>
  <si>
    <t>MJ ME          ab 7,5 kg</t>
  </si>
  <si>
    <t>MJ ME            ab 12 kg</t>
  </si>
  <si>
    <t>MJ ME            ab 20 kg</t>
  </si>
  <si>
    <t>0,08 - 0,2</t>
  </si>
  <si>
    <t>Zuwachs</t>
  </si>
  <si>
    <t>MJ / Tag</t>
  </si>
  <si>
    <t>pcv Lysin *</t>
  </si>
  <si>
    <t>kg / Tag</t>
  </si>
  <si>
    <t>g / kg Futter</t>
  </si>
  <si>
    <t>Calcium</t>
  </si>
  <si>
    <t>Lebend-gewicht</t>
  </si>
  <si>
    <t>Rohprotein-gehalt</t>
  </si>
  <si>
    <t>Futterauf-nahme</t>
  </si>
  <si>
    <t>MJ / kg Futter</t>
  </si>
  <si>
    <t xml:space="preserve">kg </t>
  </si>
  <si>
    <t>Futterauf-nahme gesamt</t>
  </si>
  <si>
    <t>Futterver- wertung</t>
  </si>
  <si>
    <t>kg Futter / kg Zuwachs</t>
  </si>
  <si>
    <t>28 - 40</t>
  </si>
  <si>
    <t>95 - 120</t>
  </si>
  <si>
    <t>120 - 140</t>
  </si>
  <si>
    <r>
      <t>1)</t>
    </r>
    <r>
      <rPr>
        <sz val="10"/>
        <rFont val="Arial"/>
      </rPr>
      <t xml:space="preserve"> bis zum 25. Tag;</t>
    </r>
    <r>
      <rPr>
        <vertAlign val="superscript"/>
        <sz val="10"/>
        <rFont val="Arial"/>
        <family val="2"/>
      </rPr>
      <t xml:space="preserve"> 2)</t>
    </r>
    <r>
      <rPr>
        <sz val="10"/>
        <rFont val="Arial"/>
      </rPr>
      <t xml:space="preserve"> 26-28. Tag; Absetzen mit 7,5 kg Lebendmasse; </t>
    </r>
    <r>
      <rPr>
        <vertAlign val="superscript"/>
        <sz val="10"/>
        <rFont val="Arial"/>
        <family val="2"/>
      </rPr>
      <t>3)</t>
    </r>
    <r>
      <rPr>
        <sz val="10"/>
        <rFont val="Arial"/>
      </rPr>
      <t xml:space="preserve"> je kg Futter; ab 4. Lebenswoche Absetzfutter mit normal 13,8 MJ ME, ab 6. Lebenswoche Ferkel I mit normal 13,4 MJ ME, ab 8. Lebenswoche Ferkel II mit normal 13,0 MJ ME</t>
    </r>
  </si>
  <si>
    <t>Summe Absetzfutterverbrauch in kg:</t>
  </si>
  <si>
    <t>Summe Ferkel I - Futterverbrauch in kg:</t>
  </si>
  <si>
    <t>MJ ME          ab 28 kg</t>
  </si>
  <si>
    <t>MJ ME          ab 40 kg</t>
  </si>
  <si>
    <t>MJ ME            ab 95 kg</t>
  </si>
  <si>
    <t>MJ ME          ab 120 kg</t>
  </si>
  <si>
    <t>Summe kg Futter und Ø Futterverwertung in kg Futter / kg Zuwachs:</t>
  </si>
  <si>
    <t>Lysin *</t>
  </si>
  <si>
    <t>* übrige Aminosäuren im Verhältnis: Lysin : Methionin / Cystin : Threonin : Tryptophan = 1 : 0,55 : 0,65 : 0,18</t>
  </si>
  <si>
    <t>Gesamter Futterver-brauch Tragefutter                in kg / Jahr</t>
  </si>
  <si>
    <t>Gesamter Futterver-brauch Säugefutter                in kg / Jahr</t>
  </si>
  <si>
    <t>Gesamter Futterver-brauch                 in kg / Jahr</t>
  </si>
  <si>
    <t>Prozent</t>
  </si>
  <si>
    <t>% Umrauscher</t>
  </si>
  <si>
    <t xml:space="preserve">Säugezeit </t>
  </si>
  <si>
    <t>Anzahl Würfe / Sau &amp; Jahr</t>
  </si>
  <si>
    <t>verdaulicher Phosphor</t>
  </si>
  <si>
    <t>ges. Futterverbrauch</t>
  </si>
  <si>
    <t>Summe Ferkel II - Futterverbrauch in kg:</t>
  </si>
  <si>
    <t>% Roh-protein             in der FM</t>
  </si>
  <si>
    <t>Rohfett                  (XL)</t>
  </si>
  <si>
    <t>Stärke                     (S)</t>
  </si>
  <si>
    <t>Zucker         (Z)</t>
  </si>
  <si>
    <t>Rohasche                  (XA)</t>
  </si>
  <si>
    <t>Linolsäure-gehalt</t>
  </si>
  <si>
    <t>Polyensäure-gehalt</t>
  </si>
  <si>
    <t>Linolensäure-gehalt</t>
  </si>
  <si>
    <t>Vit A</t>
  </si>
  <si>
    <t>Vit D</t>
  </si>
  <si>
    <t>Vit E</t>
  </si>
  <si>
    <t>IE</t>
  </si>
  <si>
    <t>meq</t>
  </si>
  <si>
    <t>Methionin                   (Met)</t>
  </si>
  <si>
    <t>verdaul.            Methionin                  (pcv Met)</t>
  </si>
  <si>
    <t>verdaul. Lysin        (pcv Lys)</t>
  </si>
  <si>
    <t>verdaul.            M. &amp; C.                  (pcv M &amp; C)</t>
  </si>
  <si>
    <t>verdaul. Threonin                (pcv Thr)</t>
  </si>
  <si>
    <t>verdaul. Tryptophan (pcv Trp)</t>
  </si>
  <si>
    <t>Kationen-Anionen-Bilanz KAB</t>
  </si>
  <si>
    <t>7</t>
  </si>
  <si>
    <t>19</t>
  </si>
  <si>
    <t>9</t>
  </si>
  <si>
    <t>Gerste öko</t>
  </si>
  <si>
    <t>bei ph 3</t>
  </si>
  <si>
    <t>Qualität</t>
  </si>
  <si>
    <t>Ø Hessen</t>
  </si>
  <si>
    <t>100</t>
  </si>
  <si>
    <t>Gerste Sommer</t>
  </si>
  <si>
    <t>Anteil Proben Hessen</t>
  </si>
  <si>
    <t>29</t>
  </si>
  <si>
    <t>Triticale öko</t>
  </si>
  <si>
    <t>26</t>
  </si>
  <si>
    <t>Weizen öko</t>
  </si>
  <si>
    <t>Hirse - Sorghum</t>
  </si>
  <si>
    <t>eigene Hirse - Sorghum</t>
  </si>
  <si>
    <t>0</t>
  </si>
  <si>
    <t>Eiweißreiche Futtermittel</t>
  </si>
  <si>
    <t>Norm 12,2 - 13,0</t>
  </si>
  <si>
    <t>Norm 13,0 - 13,4</t>
  </si>
  <si>
    <t>Norm 12,6 - 13,0</t>
  </si>
  <si>
    <t>Lysin / MJ ME</t>
  </si>
  <si>
    <t>40 - 70</t>
  </si>
  <si>
    <t>70 - 95</t>
  </si>
  <si>
    <t>MJ ME            ab 70 kg</t>
  </si>
  <si>
    <t>Phoshor ohne Phytase</t>
  </si>
  <si>
    <t>verd. Phosphor ohne Phyt.</t>
  </si>
  <si>
    <t>Jungsauen 30 - 40 kg LM für 600 g TZ</t>
  </si>
  <si>
    <t>Jungsauen 40 - 70 kg LM für 680 g TZ</t>
  </si>
  <si>
    <t>Jungsauen 70 - 95 kg LM für 700 g TZ</t>
  </si>
  <si>
    <t>Jungsauen 120 - 140 kg LM für 725 g TZ</t>
  </si>
  <si>
    <t>37 - 50</t>
  </si>
  <si>
    <t>Empfehlungen zur Nährstoffversorgung von Zuchtläufern und Jungsauen (GfE 2006 und DLG 2008 ergänzt)</t>
  </si>
  <si>
    <t>Aufzuchtphase Jungeber</t>
  </si>
  <si>
    <t>Zuchteber</t>
  </si>
  <si>
    <t>28 - 60</t>
  </si>
  <si>
    <t>60 - 90</t>
  </si>
  <si>
    <t>90 - 120</t>
  </si>
  <si>
    <t>120 - 180</t>
  </si>
  <si>
    <t>über 180</t>
  </si>
  <si>
    <t>MJ ME          ab 60 kg</t>
  </si>
  <si>
    <t>MJ ME            ab 90 kg</t>
  </si>
  <si>
    <t>MJ ME            ab 120 kg</t>
  </si>
  <si>
    <t>MJ ME          ab 180 kg</t>
  </si>
  <si>
    <r>
      <rPr>
        <sz val="10"/>
        <rFont val="Calibri"/>
        <family val="2"/>
      </rPr>
      <t>≥</t>
    </r>
    <r>
      <rPr>
        <sz val="10"/>
        <rFont val="Arial"/>
      </rPr>
      <t xml:space="preserve"> 18</t>
    </r>
  </si>
  <si>
    <t>≥ 18</t>
  </si>
  <si>
    <t>17 - 18</t>
  </si>
  <si>
    <t>* übrige Aminosäuren im Verhältnis: Lysin : Methionin / Cystin : Threonin : Tryptophan = 1 : 0,7 : 0,65 : 0,18</t>
  </si>
  <si>
    <t>Summe kg Futter und Ø Futterverwertung in kg Futter / kg Zuwachs bis 180 kg LM:</t>
  </si>
  <si>
    <t>Norm 11,4 - 12,6</t>
  </si>
  <si>
    <t>Norm 11,8 - 12,6</t>
  </si>
  <si>
    <t>Norm 11,4 - 11,6</t>
  </si>
  <si>
    <t>pcv Lysin / MJ ME</t>
  </si>
  <si>
    <t>Zuchteber 120 - 180 kg LM für 400 g TZ</t>
  </si>
  <si>
    <t>Zuchteber über 180 kg LM für 200 g TZ</t>
  </si>
  <si>
    <r>
      <rPr>
        <sz val="10"/>
        <rFont val="Calibri"/>
        <family val="2"/>
      </rPr>
      <t xml:space="preserve">≥ </t>
    </r>
    <r>
      <rPr>
        <sz val="10"/>
        <rFont val="Arial"/>
      </rPr>
      <t>16</t>
    </r>
  </si>
  <si>
    <t>≥ 70</t>
  </si>
  <si>
    <t>Met</t>
  </si>
  <si>
    <t>pcv Met</t>
  </si>
  <si>
    <t>Säurebin-dungs-kapazität                  SBK bei pH 3</t>
  </si>
  <si>
    <t>Linol-säure-gehalt</t>
  </si>
  <si>
    <t>Polyen-säure-gehalt</t>
  </si>
  <si>
    <t>Linolen-säure-gehalt</t>
  </si>
  <si>
    <t>Säurebindungs-kapazität                  SBK bei pH 3</t>
  </si>
  <si>
    <t xml:space="preserve">organi-scher Rest alt             (OR)                       </t>
  </si>
  <si>
    <t>Roh-fett XL</t>
  </si>
  <si>
    <t>Roh-asche XA</t>
  </si>
  <si>
    <t>Poly-en-säure</t>
  </si>
  <si>
    <t>Linol-säure</t>
  </si>
  <si>
    <t>Lino-len-säure</t>
  </si>
  <si>
    <t>Mischergröße in t:</t>
  </si>
  <si>
    <t>in Mi-scher</t>
  </si>
  <si>
    <t xml:space="preserve">Netto-Preis </t>
  </si>
  <si>
    <t>Roh-asche                  (XA)</t>
  </si>
  <si>
    <t>aus Tabelle Orientierungswerte in g</t>
  </si>
  <si>
    <t>BfS</t>
  </si>
  <si>
    <t>Verdaulich-keit                                   Rohfaser</t>
  </si>
  <si>
    <t>Verdaulich-keit                                   NfE</t>
  </si>
  <si>
    <t>in FM</t>
  </si>
  <si>
    <t>NfE</t>
  </si>
  <si>
    <t>Weizen, (Hart) durum</t>
  </si>
  <si>
    <t xml:space="preserve">eigener Weizen, (Hart) </t>
  </si>
  <si>
    <t>ohne</t>
  </si>
  <si>
    <t>Sojaschrot</t>
  </si>
  <si>
    <t>12</t>
  </si>
  <si>
    <t xml:space="preserve">Sojaschrot </t>
  </si>
  <si>
    <t>Melasseschnitzel zuckerreich</t>
  </si>
  <si>
    <t>eigenes Trockenschnitzel</t>
  </si>
  <si>
    <t>Stroh, Gerste</t>
  </si>
  <si>
    <t>Sauermolke, milchsauer, frisch</t>
  </si>
  <si>
    <t>Sauermolke, milchsauer 88 % TM</t>
  </si>
  <si>
    <t>Obstrester (Apfel), getrocknet</t>
  </si>
  <si>
    <t>Lignocellulose (Faserkonzentrat)</t>
  </si>
  <si>
    <t>Sojakuchen / Expeller, Bioland</t>
  </si>
  <si>
    <t>Leinextaktionschrot</t>
  </si>
  <si>
    <t>Lein, Samen</t>
  </si>
  <si>
    <t>Leinkuchen / Expeller 4-8% Fett</t>
  </si>
  <si>
    <t>Empfehlungen zur Nährstoffversorgung von Jung- und Zuchtebern (GfE 2006 und Hühn 2008 ergänzt)</t>
  </si>
  <si>
    <t>13 - 14</t>
  </si>
  <si>
    <t xml:space="preserve">Futterberechnungsprogramm für Schweine in Anlehnung an die </t>
  </si>
  <si>
    <t>kajo.hollmichel@llh.hessen.de</t>
  </si>
  <si>
    <t>E-Mail:</t>
  </si>
  <si>
    <t>Mobil:</t>
  </si>
  <si>
    <t xml:space="preserve">Tel.: </t>
  </si>
  <si>
    <t>0561 7299-257</t>
  </si>
  <si>
    <t>0160 4755166</t>
  </si>
  <si>
    <t xml:space="preserve">Entwickelt und programmiert von: </t>
  </si>
  <si>
    <t>Dipl.-Ing. agr. Kajo Hollmichel (LLH)</t>
  </si>
  <si>
    <t>RP*** (XP)</t>
  </si>
  <si>
    <t>Basis 88 % TM!</t>
  </si>
  <si>
    <t>Roh-protein             in der FM</t>
  </si>
  <si>
    <t>Aminosäuren in Mineralfuttern:</t>
  </si>
  <si>
    <r>
      <t xml:space="preserve">Sojaöl </t>
    </r>
    <r>
      <rPr>
        <vertAlign val="superscript"/>
        <sz val="10"/>
        <rFont val="Arial"/>
        <family val="2"/>
      </rPr>
      <t>2)</t>
    </r>
  </si>
  <si>
    <r>
      <rPr>
        <sz val="10"/>
        <rFont val="Calibri"/>
        <family val="2"/>
      </rPr>
      <t>≥</t>
    </r>
    <r>
      <rPr>
        <sz val="10"/>
        <rFont val="Arial"/>
      </rPr>
      <t xml:space="preserve"> 17</t>
    </r>
  </si>
  <si>
    <r>
      <rPr>
        <sz val="10"/>
        <rFont val="Calibri"/>
        <family val="2"/>
      </rPr>
      <t>≥</t>
    </r>
    <r>
      <rPr>
        <sz val="10"/>
        <rFont val="Arial"/>
      </rPr>
      <t xml:space="preserve"> 16</t>
    </r>
  </si>
  <si>
    <r>
      <rPr>
        <sz val="10"/>
        <rFont val="Calibri"/>
        <family val="2"/>
      </rPr>
      <t>≥</t>
    </r>
    <r>
      <rPr>
        <sz val="10"/>
        <rFont val="Arial"/>
      </rPr>
      <t xml:space="preserve"> 15</t>
    </r>
  </si>
  <si>
    <t>MJ ME*** in 1 kg</t>
  </si>
  <si>
    <t>*** nach Mischfutterformel neu</t>
  </si>
  <si>
    <t>pcv      Lys /</t>
  </si>
  <si>
    <t>pcv      M+C /</t>
  </si>
  <si>
    <t>pcv      Thr /</t>
  </si>
  <si>
    <t>pcv      Trp /</t>
  </si>
  <si>
    <t>Orientierungswerte</t>
  </si>
  <si>
    <t>kg/Abschnitt</t>
  </si>
  <si>
    <t>Sauenmilch eventuell Beifütterung</t>
  </si>
  <si>
    <r>
      <t xml:space="preserve">Summe bzw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:</t>
    </r>
  </si>
  <si>
    <t>kg/Tag</t>
  </si>
  <si>
    <t>Ferkel 10000 I.E. und sonstige Schweine 2000 I.E.</t>
  </si>
  <si>
    <t>max. 750 mg und Saugferkel max. 250 mg/Tag bis 1 Woche vor dem Absetzen</t>
  </si>
  <si>
    <t>Lebendmasse der Sau           3.Wurf in kg             ca. Ø 255 kg</t>
  </si>
  <si>
    <t>Lebendmasse der Jungsau          1.Wurf in kg                            ca. Ø 185 kg</t>
  </si>
  <si>
    <t>Trockenschnitzel</t>
  </si>
  <si>
    <t>Wasser</t>
  </si>
  <si>
    <t>Sojabohne (dampferhitzt)</t>
  </si>
  <si>
    <t>Sojabohnenschalen</t>
  </si>
  <si>
    <r>
      <t xml:space="preserve">Sonnenblumenkuchen </t>
    </r>
    <r>
      <rPr>
        <sz val="6"/>
        <rFont val="Arial"/>
        <family val="2"/>
      </rPr>
      <t>kaltgepresst</t>
    </r>
  </si>
  <si>
    <r>
      <t xml:space="preserve">Sonnenblumenschrot </t>
    </r>
    <r>
      <rPr>
        <sz val="6"/>
        <rFont val="Arial"/>
        <family val="2"/>
      </rPr>
      <t>teilgeschält</t>
    </r>
  </si>
  <si>
    <t>Zu-cker Z</t>
  </si>
  <si>
    <t>Stär-ke     S</t>
  </si>
  <si>
    <t>Trockenschlempe</t>
  </si>
  <si>
    <r>
      <t xml:space="preserve">Sojaschrot als typisches Eiweißfuttermittel verwendet. </t>
    </r>
    <r>
      <rPr>
        <b/>
        <sz val="10"/>
        <color indexed="10"/>
        <rFont val="Arial"/>
        <family val="2"/>
      </rPr>
      <t xml:space="preserve">Mittels Drop-Down-Menü können auch andere Vergleichsfuttermittel </t>
    </r>
  </si>
  <si>
    <r>
      <t>Geben Sie bitte 1. nur den Preis  des Energieverleichfuttermittels und 2. den Preis des Eiweißvergleichsfuttermittels ein</t>
    </r>
    <r>
      <rPr>
        <sz val="10"/>
        <color indexed="10"/>
        <rFont val="Arial"/>
        <family val="2"/>
      </rPr>
      <t xml:space="preserve">, </t>
    </r>
  </si>
  <si>
    <t>die Austauschpreise (preiswürdig bis zu diesem Preis bei den eingegebenen Vergleichsfuttermittelpreisen) werden dann automatisch errechnet!</t>
  </si>
  <si>
    <t>Verdaulich-keit                                   organische Masse</t>
  </si>
  <si>
    <t>Verdaulich-keit                                   Roprotein</t>
  </si>
  <si>
    <t>Verdaulich-keit                                   Rohfett</t>
  </si>
  <si>
    <t>organischer Rest neu Mischfutter-formel                  (OR)</t>
  </si>
  <si>
    <t xml:space="preserve">organischer Rest Einzelfutter-formel             (OR)                       </t>
  </si>
  <si>
    <t>ME ** nach Einzelfutter-formel</t>
  </si>
  <si>
    <t>Sojaschrot GVO-frei, Brasil</t>
  </si>
  <si>
    <t>ME ** nach  neuer Mischfutter-formel</t>
  </si>
  <si>
    <t>ME EFF</t>
  </si>
  <si>
    <t>ME MFF</t>
  </si>
  <si>
    <t>** nach Einzelfutterformel</t>
  </si>
  <si>
    <t>MFF</t>
  </si>
  <si>
    <t>organi-scher Rest                   (OR)</t>
  </si>
  <si>
    <t>** berechnet nach Einzelfutterformel nur in Ausnahmefällen nach Mischfutterformel</t>
  </si>
  <si>
    <t>Orientierungswerte für Ergänzungsfuttermittel</t>
  </si>
  <si>
    <r>
      <t xml:space="preserve">±  0,13 MJ ME </t>
    </r>
    <r>
      <rPr>
        <sz val="12"/>
        <rFont val="Arial"/>
        <family val="2"/>
      </rPr>
      <t>/ kg</t>
    </r>
  </si>
  <si>
    <t>Energie nach Einzelfuttermittelformel</t>
  </si>
  <si>
    <t>Orientierungswerte für Mineralfutter</t>
  </si>
  <si>
    <t xml:space="preserve">Sojaschrot HP 47% RP </t>
  </si>
  <si>
    <t>EFF</t>
  </si>
  <si>
    <t>in Mischer</t>
  </si>
  <si>
    <t>Futterkosten auf 88% TM umgerechnet</t>
  </si>
  <si>
    <t>Preis / dt</t>
  </si>
  <si>
    <t>Soll</t>
  </si>
  <si>
    <t>Differenz</t>
  </si>
  <si>
    <t>Met + Cys</t>
  </si>
  <si>
    <t>Rohprotein (XP)</t>
  </si>
  <si>
    <t>v.P</t>
  </si>
  <si>
    <t>v.P + Phytase</t>
  </si>
  <si>
    <t>Lys in 100g RP</t>
  </si>
  <si>
    <t>* EFF=Einzelfutterformel und MFF=Mischfutterformel (EFF ist genauer!)</t>
  </si>
  <si>
    <t>Mustermann</t>
  </si>
  <si>
    <t>Vit A in IE</t>
  </si>
  <si>
    <t>Vit D in IE</t>
  </si>
  <si>
    <t>Vit E in mg</t>
  </si>
  <si>
    <t>SBK in meq</t>
  </si>
  <si>
    <t>in 88% TM</t>
  </si>
  <si>
    <r>
      <rPr>
        <b/>
        <sz val="11"/>
        <color indexed="60"/>
        <rFont val="Arial"/>
        <family val="2"/>
      </rPr>
      <t>Futterkosten</t>
    </r>
    <r>
      <rPr>
        <b/>
        <sz val="11"/>
        <color indexed="60"/>
        <rFont val="Arial"/>
        <family val="2"/>
      </rPr>
      <t xml:space="preserve"> </t>
    </r>
    <r>
      <rPr>
        <b/>
        <sz val="11"/>
        <rFont val="Arial"/>
        <family val="2"/>
      </rPr>
      <t xml:space="preserve">/ Summe / </t>
    </r>
    <r>
      <rPr>
        <b/>
        <sz val="11"/>
        <color indexed="62"/>
        <rFont val="Arial"/>
        <family val="2"/>
      </rPr>
      <t>Mischergröße</t>
    </r>
  </si>
  <si>
    <t>Harn pH</t>
  </si>
  <si>
    <t>Vit D3</t>
  </si>
  <si>
    <t>Vit. A</t>
  </si>
  <si>
    <t>Vit. D3</t>
  </si>
  <si>
    <t>Vit. E</t>
  </si>
  <si>
    <t xml:space="preserve">Ca / P   </t>
  </si>
  <si>
    <t xml:space="preserve">Ca / vP          </t>
  </si>
  <si>
    <t>Ca / vP + Phytase</t>
  </si>
  <si>
    <t>Harn-pH bei Fütterung dieser Ration</t>
  </si>
  <si>
    <t xml:space="preserve"> in 88 %TM</t>
  </si>
  <si>
    <t>100 % TM</t>
  </si>
  <si>
    <t>Chlor               (Cl)</t>
  </si>
  <si>
    <r>
      <t>Ca-Formiat Ca(COOH)</t>
    </r>
    <r>
      <rPr>
        <vertAlign val="subscript"/>
        <sz val="8"/>
        <rFont val="Arial"/>
        <family val="2"/>
      </rPr>
      <t>2</t>
    </r>
  </si>
  <si>
    <t>mmol</t>
  </si>
  <si>
    <r>
      <t>Futterkalk CaCO</t>
    </r>
    <r>
      <rPr>
        <vertAlign val="subscript"/>
        <sz val="8"/>
        <rFont val="Arial"/>
        <family val="2"/>
      </rPr>
      <t>3</t>
    </r>
  </si>
  <si>
    <t>Basenüberschuß (BE)</t>
  </si>
  <si>
    <t>Kationen / Anionen-Bilanz = Basenüber-schuß (BE)</t>
  </si>
  <si>
    <t>Kationen / Anionen-Bilanz (BE)</t>
  </si>
  <si>
    <t>KAB BE in mmol</t>
  </si>
  <si>
    <t>KAB oder DCAB oder BE in 100% TM der Ration</t>
  </si>
  <si>
    <t>6 - 10</t>
  </si>
  <si>
    <t>1,5 - 3,8</t>
  </si>
  <si>
    <t>2 - 4,5</t>
  </si>
  <si>
    <t>4 - 7,7</t>
  </si>
  <si>
    <t>1 - 3,5</t>
  </si>
  <si>
    <r>
      <t xml:space="preserve">4 - 12 </t>
    </r>
    <r>
      <rPr>
        <vertAlign val="superscript"/>
        <sz val="10"/>
        <rFont val="Arial"/>
        <family val="2"/>
      </rPr>
      <t>4)</t>
    </r>
  </si>
  <si>
    <t>1 - 2,5</t>
  </si>
  <si>
    <t>1 - 4</t>
  </si>
  <si>
    <t>Lieschkolbenschrot</t>
  </si>
  <si>
    <t>Kartoffelschalen, ged.</t>
  </si>
  <si>
    <t>Kartoffelschalen, roh</t>
  </si>
  <si>
    <t>Permeatmolke</t>
  </si>
  <si>
    <t>Melasse</t>
  </si>
  <si>
    <t>Milchzuckermelasse</t>
  </si>
  <si>
    <t>Mager-/Buttermilch</t>
  </si>
  <si>
    <t>Vollmilch</t>
  </si>
  <si>
    <t>Freistaat Sachsen" und LfL-Informationen 2007 (teilweise geändert)</t>
  </si>
  <si>
    <t>0 - 3,5</t>
  </si>
  <si>
    <t>Maiskolbenschrot</t>
  </si>
  <si>
    <t>Kartoffelpreßpülpe</t>
  </si>
  <si>
    <t>Molke, 5,6 % TM</t>
  </si>
  <si>
    <t>Molke, 12 % TM</t>
  </si>
  <si>
    <t>kg Futter Jungsau</t>
  </si>
  <si>
    <t>kg Futter Altsau</t>
  </si>
  <si>
    <t>MJ ME 1. Trächtigkeit</t>
  </si>
  <si>
    <t>MJ ME 2. Trächtigkeit</t>
  </si>
  <si>
    <t>kg Futter 2. Trächtigkeit</t>
  </si>
  <si>
    <t>MJ ME 3. Trächtigkeit</t>
  </si>
  <si>
    <t>MJ ME 4. Trächtigkeit</t>
  </si>
  <si>
    <t>kg Futter 4. Trächtigkeit</t>
  </si>
  <si>
    <t>kg Futter                            1. Trächtigkeit 140 kg LM</t>
  </si>
  <si>
    <t>MJ ME                   1. Trächtigkeit 140 kg LM</t>
  </si>
  <si>
    <t>MJ ME                 2. Trächtigkeit 185 kg LM</t>
  </si>
  <si>
    <t>kg Futter                    2. Trächtigkeit 185 kg LM</t>
  </si>
  <si>
    <t>MJ ME                 3. Trächtigkeit 225 kg LM</t>
  </si>
  <si>
    <t>kg Futter                          3. Trächtigkeit 225 kg LM</t>
  </si>
  <si>
    <t>MJ ME                      4. Trächtigkeit 255 kg LM</t>
  </si>
  <si>
    <t>kg Futter                            4. Trächtigkeit 255 kg LM</t>
  </si>
  <si>
    <t>Tage + 5 kg</t>
  </si>
  <si>
    <t>d</t>
  </si>
  <si>
    <t>Masttage von 30 bis 120 kg</t>
  </si>
  <si>
    <t>Ø bzw. Summe von 30 bis 120 kg</t>
  </si>
  <si>
    <t>MJ ME VM         ab 30 kg</t>
  </si>
  <si>
    <t>Sauen</t>
  </si>
  <si>
    <t>niedertragende Sauen sowie durchgängig für Altsauen</t>
  </si>
  <si>
    <t>≥ 70,4</t>
  </si>
  <si>
    <t>hochtragende Sauen und alternativ für Jungsauen</t>
  </si>
  <si>
    <t>tragende Sauen</t>
  </si>
  <si>
    <r>
      <t>≥</t>
    </r>
    <r>
      <rPr>
        <b/>
        <sz val="10"/>
        <rFont val="Arial"/>
        <family val="2"/>
      </rPr>
      <t xml:space="preserve"> 45</t>
    </r>
  </si>
  <si>
    <t>30 - 50</t>
  </si>
  <si>
    <t>Polyensäuren</t>
  </si>
  <si>
    <t>Aminosäurenverhältnis (AS-Verältnis)</t>
  </si>
  <si>
    <t>pcv Met + Cys</t>
  </si>
  <si>
    <t>pcv M + C</t>
  </si>
  <si>
    <r>
      <t>AS-Verhältnis in der Ration pcv Lysin</t>
    </r>
    <r>
      <rPr>
        <b/>
        <sz val="11"/>
        <color indexed="60"/>
        <rFont val="Arial"/>
        <family val="2"/>
      </rPr>
      <t xml:space="preserve"> 1 /</t>
    </r>
  </si>
  <si>
    <t>Orientierungswert AS-Verhältnis pcv Lysin 1 /</t>
  </si>
  <si>
    <r>
      <t>ME</t>
    </r>
    <r>
      <rPr>
        <b/>
        <vertAlign val="subscript"/>
        <sz val="11"/>
        <color indexed="56"/>
        <rFont val="Arial"/>
        <family val="2"/>
      </rPr>
      <t>S</t>
    </r>
    <r>
      <rPr>
        <b/>
        <sz val="11"/>
        <color indexed="56"/>
        <rFont val="Arial"/>
        <family val="2"/>
      </rPr>
      <t xml:space="preserve"> </t>
    </r>
    <r>
      <rPr>
        <b/>
        <vertAlign val="subscript"/>
        <sz val="11"/>
        <color indexed="56"/>
        <rFont val="Arial"/>
        <family val="2"/>
      </rPr>
      <t>EFF*</t>
    </r>
  </si>
  <si>
    <r>
      <t>ME</t>
    </r>
    <r>
      <rPr>
        <vertAlign val="subscript"/>
        <sz val="11"/>
        <color indexed="56"/>
        <rFont val="Arial"/>
        <family val="2"/>
      </rPr>
      <t>S</t>
    </r>
    <r>
      <rPr>
        <sz val="11"/>
        <color indexed="56"/>
        <rFont val="Arial"/>
        <family val="2"/>
      </rPr>
      <t xml:space="preserve"> </t>
    </r>
    <r>
      <rPr>
        <vertAlign val="subscript"/>
        <sz val="11"/>
        <color indexed="56"/>
        <rFont val="Arial"/>
        <family val="2"/>
      </rPr>
      <t>MFF*</t>
    </r>
  </si>
  <si>
    <r>
      <t xml:space="preserve">Inhaltsstoffe                                                                      </t>
    </r>
    <r>
      <rPr>
        <b/>
        <sz val="9"/>
        <color indexed="8"/>
        <rFont val="Arial"/>
        <family val="2"/>
      </rPr>
      <t xml:space="preserve"> in 1 kg Futtermittel</t>
    </r>
  </si>
  <si>
    <t>in der FM</t>
  </si>
  <si>
    <t>in</t>
  </si>
  <si>
    <t>/1</t>
  </si>
  <si>
    <r>
      <t>Lys / ME</t>
    </r>
    <r>
      <rPr>
        <b/>
        <vertAlign val="subscript"/>
        <sz val="11"/>
        <color indexed="56"/>
        <rFont val="Arial"/>
        <family val="2"/>
      </rPr>
      <t>S</t>
    </r>
    <r>
      <rPr>
        <b/>
        <sz val="11"/>
        <color indexed="56"/>
        <rFont val="Arial"/>
        <family val="2"/>
      </rPr>
      <t xml:space="preserve"> </t>
    </r>
    <r>
      <rPr>
        <b/>
        <vertAlign val="subscript"/>
        <sz val="11"/>
        <color indexed="56"/>
        <rFont val="Arial"/>
        <family val="2"/>
      </rPr>
      <t>EFF*</t>
    </r>
  </si>
  <si>
    <t>g/MJ</t>
  </si>
  <si>
    <r>
      <t>Kosten / 10 MJ ME</t>
    </r>
    <r>
      <rPr>
        <b/>
        <vertAlign val="subscript"/>
        <sz val="11"/>
        <color indexed="56"/>
        <rFont val="Arial"/>
        <family val="2"/>
      </rPr>
      <t>S</t>
    </r>
    <r>
      <rPr>
        <b/>
        <sz val="11"/>
        <color indexed="56"/>
        <rFont val="Arial"/>
        <family val="2"/>
      </rPr>
      <t xml:space="preserve"> </t>
    </r>
    <r>
      <rPr>
        <b/>
        <vertAlign val="subscript"/>
        <sz val="11"/>
        <color indexed="56"/>
        <rFont val="Arial"/>
        <family val="2"/>
      </rPr>
      <t>EFF*</t>
    </r>
  </si>
  <si>
    <r>
      <t>pcv Lys / ME</t>
    </r>
    <r>
      <rPr>
        <b/>
        <vertAlign val="subscript"/>
        <sz val="11"/>
        <color indexed="56"/>
        <rFont val="Arial"/>
        <family val="2"/>
      </rPr>
      <t>S</t>
    </r>
    <r>
      <rPr>
        <b/>
        <sz val="11"/>
        <color indexed="56"/>
        <rFont val="Arial"/>
        <family val="2"/>
      </rPr>
      <t xml:space="preserve"> </t>
    </r>
    <r>
      <rPr>
        <b/>
        <vertAlign val="subscript"/>
        <sz val="11"/>
        <color indexed="56"/>
        <rFont val="Arial"/>
        <family val="2"/>
      </rPr>
      <t>EFF*</t>
    </r>
  </si>
  <si>
    <t xml:space="preserve">pro kg </t>
  </si>
  <si>
    <t>Lys / 100g/kg RP</t>
  </si>
  <si>
    <t>Polyen-säure-g/kgehalt</t>
  </si>
  <si>
    <t>Linol-säure-g/kgehalt</t>
  </si>
  <si>
    <t>Linolen-säure-g/kgehalt</t>
  </si>
  <si>
    <t>IE/kg</t>
  </si>
  <si>
    <t>mg/kg</t>
  </si>
  <si>
    <t>meq/kg</t>
  </si>
  <si>
    <t>Vormast Eber 30 - 40 kg LM für 850 g TZ*</t>
  </si>
  <si>
    <t>Anfangsmast 40 - 50 kg LM</t>
  </si>
  <si>
    <t>ab 40 kg LM</t>
  </si>
  <si>
    <t>ab 50 kg LM</t>
  </si>
  <si>
    <t>Mittelmast 60 - 90 kg LM</t>
  </si>
  <si>
    <t>ab 70 kg LM</t>
  </si>
  <si>
    <t>ab 60 kg LM</t>
  </si>
  <si>
    <t>Endmast 90 - 120 kg LM</t>
  </si>
  <si>
    <t>ab 90 kg LM</t>
  </si>
  <si>
    <t>ab 110 kg LM</t>
  </si>
  <si>
    <t>Ebermast nach Rechenmeister NRW</t>
  </si>
  <si>
    <t>ab 100 kg LM</t>
  </si>
  <si>
    <t>Orientierungswerte für Alleinfutter</t>
  </si>
  <si>
    <t>ADF</t>
  </si>
  <si>
    <t>NDF</t>
  </si>
  <si>
    <t>g/ kg</t>
  </si>
  <si>
    <t>Eber (Zucht)</t>
  </si>
  <si>
    <t>Aufzuchtphase Jungeber (Zucht)</t>
  </si>
  <si>
    <t>Jungeber 28 - 60 kg LM für 700 g TZ (Zucht)</t>
  </si>
  <si>
    <t>Jungeber 60 - 90 kg LM für 850 g TZ (Zucht)</t>
  </si>
  <si>
    <t>Jungeber 90 - 120 kg LM für 750 g TZ (Zucht)</t>
  </si>
  <si>
    <t>Anfangsmast Eber ab 40 kg LM für 850 g TZ*</t>
  </si>
  <si>
    <t>Mittelmast Eber ab 70 kg LM für 850 g TZ*</t>
  </si>
  <si>
    <t>Endmast Eber ab 90 kg LM für 850 g TZ*</t>
  </si>
  <si>
    <t>Anfangsmast Eber ab 50 kg LM für 850 g TZ*</t>
  </si>
  <si>
    <t>Mittelmast Eber ab 60 kg LM für 850 g TZ*</t>
  </si>
  <si>
    <t>Mittelmast Eber ab 80 kg LM für 850 g TZ*</t>
  </si>
  <si>
    <t xml:space="preserve">                                                                         in 1000 g Futtermittel</t>
  </si>
  <si>
    <t>Säuren-Detergenz-Faser (ADF)</t>
  </si>
  <si>
    <t>Neutrale-Detergenz-Faser (NDF)</t>
  </si>
  <si>
    <t>3,5</t>
  </si>
  <si>
    <t>Optimales MinFu AM 850g TZ 3,5% + Phytase</t>
  </si>
  <si>
    <t xml:space="preserve">Sojaschrot 43% RP </t>
  </si>
  <si>
    <t>Markt-preise Einkauf frei Hof</t>
  </si>
  <si>
    <t>hier neues Futtermittel eingeben</t>
  </si>
  <si>
    <t>* z.Zt. futtermittelrechtliche zulässige Höchstgehalte je kg Alleinfutter (mit 88 % Trockenmasse)</t>
  </si>
  <si>
    <t xml:space="preserve">  ±  0,23 g/kg</t>
  </si>
  <si>
    <t xml:space="preserve">   ± 1% Rapsschrot 00  35,5% RP</t>
  </si>
  <si>
    <r>
      <rPr>
        <b/>
        <sz val="18"/>
        <rFont val="Arial"/>
        <family val="2"/>
      </rPr>
      <t>Veränderung der Ration durch den Austausch von Energie- bzw. Proteinträgern</t>
    </r>
    <r>
      <rPr>
        <b/>
        <sz val="20"/>
        <rFont val="Arial"/>
        <family val="2"/>
      </rPr>
      <t xml:space="preserve"> </t>
    </r>
    <r>
      <rPr>
        <sz val="12"/>
        <rFont val="Arial"/>
        <family val="2"/>
      </rPr>
      <t>(bei 88% TM)</t>
    </r>
  </si>
  <si>
    <t>Lysin</t>
  </si>
  <si>
    <t>± 0,21 g/kg</t>
  </si>
  <si>
    <t>± 0,12 g/kg</t>
  </si>
  <si>
    <t>± 0,11 g/kg</t>
  </si>
  <si>
    <t>Anteil in FM</t>
  </si>
  <si>
    <t>…………………………………………………………..</t>
  </si>
  <si>
    <t>Anteil bei 88% TM</t>
  </si>
  <si>
    <t>mit Phytase</t>
  </si>
  <si>
    <t>Anteile                       in % FM</t>
  </si>
  <si>
    <r>
      <t xml:space="preserve">Anteile                       </t>
    </r>
    <r>
      <rPr>
        <b/>
        <sz val="10"/>
        <rFont val="Arial"/>
        <family val="2"/>
      </rPr>
      <t>bei 88% TM</t>
    </r>
  </si>
  <si>
    <t>Sojabohne Vollfett</t>
  </si>
  <si>
    <t>5 -10</t>
  </si>
  <si>
    <t>2-5</t>
  </si>
  <si>
    <t>5-15</t>
  </si>
  <si>
    <t>10-20</t>
  </si>
  <si>
    <t>3-5</t>
  </si>
  <si>
    <t>Vergleich Empfehlungen zu Vitamin- und Spurenelementegehalten je kg Alleinfutter (88% TM)</t>
  </si>
  <si>
    <t>von</t>
  </si>
  <si>
    <t>DLG</t>
  </si>
  <si>
    <t xml:space="preserve">A </t>
  </si>
  <si>
    <t>LfL</t>
  </si>
  <si>
    <r>
      <t xml:space="preserve"> 5000</t>
    </r>
    <r>
      <rPr>
        <vertAlign val="superscript"/>
        <sz val="8"/>
        <rFont val="Arial"/>
        <family val="2"/>
      </rPr>
      <t xml:space="preserve">a) </t>
    </r>
    <r>
      <rPr>
        <sz val="8"/>
        <rFont val="Arial"/>
        <family val="2"/>
      </rPr>
      <t>- 3000</t>
    </r>
    <r>
      <rPr>
        <vertAlign val="superscript"/>
        <sz val="8"/>
        <rFont val="Arial"/>
        <family val="2"/>
      </rPr>
      <t>b)</t>
    </r>
  </si>
  <si>
    <r>
      <t>5000 - 10000</t>
    </r>
    <r>
      <rPr>
        <vertAlign val="superscript"/>
        <sz val="8"/>
        <rFont val="Arial"/>
        <family val="2"/>
      </rPr>
      <t xml:space="preserve"> 1)</t>
    </r>
  </si>
  <si>
    <t>NSNG</t>
  </si>
  <si>
    <t>AWT</t>
  </si>
  <si>
    <t>10000 - 12000</t>
  </si>
  <si>
    <t>8000 - 10000</t>
  </si>
  <si>
    <t>höchstens*</t>
  </si>
  <si>
    <r>
      <t>D</t>
    </r>
    <r>
      <rPr>
        <vertAlign val="subscript"/>
        <sz val="8"/>
        <rFont val="Arial"/>
        <family val="2"/>
      </rPr>
      <t xml:space="preserve">3 </t>
    </r>
  </si>
  <si>
    <r>
      <t xml:space="preserve">500 - 1000 </t>
    </r>
    <r>
      <rPr>
        <vertAlign val="superscript"/>
        <sz val="8"/>
        <rFont val="Arial"/>
        <family val="2"/>
      </rPr>
      <t>1)</t>
    </r>
  </si>
  <si>
    <t>1500 - 2000</t>
  </si>
  <si>
    <t>1800 - 2000</t>
  </si>
  <si>
    <t>1000 - 1500</t>
  </si>
  <si>
    <t>(2000 *)</t>
  </si>
  <si>
    <t>(10000 *)</t>
  </si>
  <si>
    <t>60 - 100</t>
  </si>
  <si>
    <t>60 - 80</t>
  </si>
  <si>
    <t>80 - 120</t>
  </si>
  <si>
    <t>70 - 100</t>
  </si>
  <si>
    <t>40 - 60</t>
  </si>
  <si>
    <t>(0 - 2)</t>
  </si>
  <si>
    <t>2 - 4</t>
  </si>
  <si>
    <t>1 - 2</t>
  </si>
  <si>
    <t>0,5 - 1</t>
  </si>
  <si>
    <t>2 - 3</t>
  </si>
  <si>
    <t>3 - 4</t>
  </si>
  <si>
    <t>5 - 7</t>
  </si>
  <si>
    <t>6 - 8</t>
  </si>
  <si>
    <t>4 - 6</t>
  </si>
  <si>
    <t>20 - 30</t>
  </si>
  <si>
    <t>15 - 25</t>
  </si>
  <si>
    <t>200 - 300</t>
  </si>
  <si>
    <t>150 - 250</t>
  </si>
  <si>
    <t>100 - 150</t>
  </si>
  <si>
    <t>50 - 80</t>
  </si>
  <si>
    <t>250 - 350</t>
  </si>
  <si>
    <t>1200</t>
  </si>
  <si>
    <t>1000</t>
  </si>
  <si>
    <t>800</t>
  </si>
  <si>
    <t>500</t>
  </si>
  <si>
    <t>300 - 500</t>
  </si>
  <si>
    <t>400 - 600</t>
  </si>
  <si>
    <t>250 - 400</t>
  </si>
  <si>
    <t>200 - 350</t>
  </si>
  <si>
    <t>0,5</t>
  </si>
  <si>
    <t>0,3</t>
  </si>
  <si>
    <t>20 - 40</t>
  </si>
  <si>
    <t>15 - 20</t>
  </si>
  <si>
    <t>10 - 15</t>
  </si>
  <si>
    <t>10 - 14</t>
  </si>
  <si>
    <t>8 - 12</t>
  </si>
  <si>
    <t>12 - 16</t>
  </si>
  <si>
    <t>Vit. C (bei Streß)</t>
  </si>
  <si>
    <t>(100 - 200)</t>
  </si>
  <si>
    <t>L-Carnitin</t>
  </si>
  <si>
    <t>ß-Carotin</t>
  </si>
  <si>
    <t>Eisen (Fe)</t>
  </si>
  <si>
    <t>höchstens *</t>
  </si>
  <si>
    <t>(750 *)</t>
  </si>
  <si>
    <t>(250/Tag bis 1 Woche vor dem Absetzen ansonsten 750 *)</t>
  </si>
  <si>
    <t>Kupfer (Cu)</t>
  </si>
  <si>
    <t>20 - 170</t>
  </si>
  <si>
    <t>16</t>
  </si>
  <si>
    <t>(25 *)</t>
  </si>
  <si>
    <t>(170 bis 12. Lebenswoche *)</t>
  </si>
  <si>
    <t>Zink (Zn)</t>
  </si>
  <si>
    <t>(150 *)</t>
  </si>
  <si>
    <t>Mangan (Mn)</t>
  </si>
  <si>
    <t>Jod (J)</t>
  </si>
  <si>
    <r>
      <t xml:space="preserve">0,6 </t>
    </r>
    <r>
      <rPr>
        <vertAlign val="superscript"/>
        <sz val="8"/>
        <rFont val="Arial"/>
        <family val="2"/>
      </rPr>
      <t>8)</t>
    </r>
  </si>
  <si>
    <r>
      <t xml:space="preserve">0,15 </t>
    </r>
    <r>
      <rPr>
        <vertAlign val="superscript"/>
        <sz val="8"/>
        <rFont val="Arial"/>
        <family val="2"/>
      </rPr>
      <t>8)</t>
    </r>
  </si>
  <si>
    <t>1 - 1,5</t>
  </si>
  <si>
    <t>(10 *)</t>
  </si>
  <si>
    <t>Selen (Se)</t>
  </si>
  <si>
    <t>0,2 - 0,4</t>
  </si>
  <si>
    <t>0,2 - 0,3</t>
  </si>
  <si>
    <t xml:space="preserve">   (0,5 *)</t>
  </si>
  <si>
    <t>(0,5 *)</t>
  </si>
  <si>
    <r>
      <rPr>
        <vertAlign val="superscript"/>
        <sz val="8"/>
        <rFont val="Arial"/>
        <family val="2"/>
      </rPr>
      <t>1) </t>
    </r>
    <r>
      <rPr>
        <vertAlign val="superscript"/>
        <sz val="11"/>
        <rFont val="Arial"/>
        <family val="2"/>
      </rPr>
      <t xml:space="preserve"> </t>
    </r>
    <r>
      <rPr>
        <sz val="8"/>
        <rFont val="Arial"/>
        <family val="2"/>
      </rPr>
      <t>im Ferkelfutter bis 20 kg LM</t>
    </r>
  </si>
  <si>
    <r>
      <t>2)</t>
    </r>
    <r>
      <rPr>
        <vertAlign val="superscript"/>
        <sz val="7"/>
        <rFont val="Times New Roman"/>
        <family val="1"/>
      </rPr>
      <t xml:space="preserve">     </t>
    </r>
    <r>
      <rPr>
        <sz val="8"/>
        <rFont val="Arial"/>
        <family val="2"/>
      </rPr>
      <t>zur Verbesserung der Immunität</t>
    </r>
  </si>
  <si>
    <r>
      <t>3)</t>
    </r>
    <r>
      <rPr>
        <vertAlign val="superscript"/>
        <sz val="7"/>
        <rFont val="Times New Roman"/>
        <family val="1"/>
      </rPr>
      <t xml:space="preserve">    </t>
    </r>
    <r>
      <rPr>
        <sz val="8"/>
        <rFont val="Arial"/>
        <family val="2"/>
      </rPr>
      <t>zur Verbesserung der Fleischqualität durch antioxidative Wirkung</t>
    </r>
  </si>
  <si>
    <r>
      <t>4)</t>
    </r>
    <r>
      <rPr>
        <vertAlign val="superscript"/>
        <sz val="7"/>
        <rFont val="Times New Roman"/>
        <family val="1"/>
      </rPr>
      <t xml:space="preserve">    </t>
    </r>
    <r>
      <rPr>
        <sz val="8"/>
        <rFont val="Arial"/>
        <family val="2"/>
      </rPr>
      <t>Empfehlung unsicher (mikrobielle Synthese)</t>
    </r>
  </si>
  <si>
    <r>
      <t>5)</t>
    </r>
    <r>
      <rPr>
        <vertAlign val="superscript"/>
        <sz val="7"/>
        <rFont val="Times New Roman"/>
        <family val="1"/>
      </rPr>
      <t xml:space="preserve">    </t>
    </r>
    <r>
      <rPr>
        <sz val="8"/>
        <rFont val="Arial"/>
        <family val="2"/>
      </rPr>
      <t>unter Stressbedingungen und zur Steigerung der Reproduktionsleistung</t>
    </r>
  </si>
  <si>
    <r>
      <t>6)</t>
    </r>
    <r>
      <rPr>
        <vertAlign val="superscript"/>
        <sz val="8"/>
        <rFont val="Times New Roman"/>
        <family val="1"/>
      </rPr>
      <t xml:space="preserve">   </t>
    </r>
    <r>
      <rPr>
        <sz val="8"/>
        <rFont val="Arial"/>
        <family val="2"/>
      </rPr>
      <t>zur Verbesserung der Fruchtbarkeit vom Absetzen bis zum erfolreichen Wiederholen (mg/Tier/Tag)</t>
    </r>
  </si>
  <si>
    <r>
      <t>7)</t>
    </r>
    <r>
      <rPr>
        <vertAlign val="superscript"/>
        <sz val="7"/>
        <rFont val="Times New Roman"/>
        <family val="1"/>
      </rPr>
      <t xml:space="preserve">    </t>
    </r>
    <r>
      <rPr>
        <sz val="8"/>
        <rFont val="Arial"/>
        <family val="2"/>
      </rPr>
      <t>bei Saugferkeln mind. 200 mg Fe intramuskulär 2. - 3. Tag nach der Geburt oder oral nach der Geburt</t>
    </r>
  </si>
  <si>
    <t xml:space="preserve">bis 12. Lebenswoche 170 mg, über 12. Lebenswoche 25 mg. Wachstumsfördernde Wirkung </t>
  </si>
  <si>
    <t>durch bedarfsüberschreitende Versorgung insbesondere bei Ferkeln</t>
  </si>
  <si>
    <t>max. 150 mg. Positive Effekte auf Futterverwertung, Wachstum u. Durchfallerkrankungen</t>
  </si>
  <si>
    <t>max. 0,5 mg. Antioxidativ und immunstimulierend</t>
  </si>
  <si>
    <t>Viehsalz (NaCl)</t>
  </si>
  <si>
    <t>pcv. Lys. / pcv. M. &amp; C. / pcv. Thr. / pcv. Trp.</t>
  </si>
  <si>
    <r>
      <t xml:space="preserve">ausgewählt werden! </t>
    </r>
    <r>
      <rPr>
        <sz val="10"/>
        <color indexed="8"/>
        <rFont val="Arial"/>
        <family val="2"/>
      </rPr>
      <t>Bei Öko-Preisvergleichen z.B. Weizen öko und Sojakuchen und bei GVO-freier Fütterung Sojaschrot GVO-frei, Brasil.</t>
    </r>
  </si>
  <si>
    <t>DLG 2014</t>
  </si>
  <si>
    <t xml:space="preserve"> DLG 2014</t>
  </si>
  <si>
    <t>Haferschälkleie</t>
  </si>
  <si>
    <t>Mais, Körner</t>
  </si>
  <si>
    <t>eigener Mais, Körner</t>
  </si>
  <si>
    <t>Mais, Körner siliert Ganzkorn</t>
  </si>
  <si>
    <t>Mais, Körner siliert geschrotet</t>
  </si>
  <si>
    <t>Weizen, Sommer</t>
  </si>
  <si>
    <t>DLG FuDb</t>
  </si>
  <si>
    <t>Sojakuchen</t>
  </si>
  <si>
    <t>DLG 2005</t>
  </si>
  <si>
    <t>Fischmehl proteinreich</t>
  </si>
  <si>
    <t>Fischmehl vom Hering</t>
  </si>
  <si>
    <t>Fischöl / Lachsöl</t>
  </si>
  <si>
    <t>Altbrot (Brotmehl, getrocknet)</t>
  </si>
  <si>
    <t>Keksmehl</t>
  </si>
  <si>
    <t>eigene Altbrotabfälle</t>
  </si>
  <si>
    <t>eigene Keksmehl</t>
  </si>
  <si>
    <t>Altgebäck (Gebäckmehl, getrocknet)</t>
  </si>
  <si>
    <t>Bierhefe frisch (inaktiviert)</t>
  </si>
  <si>
    <r>
      <t xml:space="preserve">Luzernegrünmehl </t>
    </r>
    <r>
      <rPr>
        <sz val="6"/>
        <rFont val="Arial"/>
        <family val="2"/>
      </rPr>
      <t>älter über 23% XF</t>
    </r>
  </si>
  <si>
    <r>
      <t xml:space="preserve">Luzernegrünmehl </t>
    </r>
    <r>
      <rPr>
        <sz val="6"/>
        <rFont val="Arial"/>
        <family val="2"/>
      </rPr>
      <t>jung unter 23% XF</t>
    </r>
  </si>
  <si>
    <t>Luzerne, frisch</t>
  </si>
  <si>
    <t>N-freie Extraktstoffe                           (NfE)</t>
  </si>
  <si>
    <t>Säure-Detergenz-Faser                                                             (ADFom)</t>
  </si>
  <si>
    <t>Neutrale-Detergenz-Faser                                           (NDFom)</t>
  </si>
  <si>
    <r>
      <t xml:space="preserve">Säurebin-dungs-kapazität                 </t>
    </r>
    <r>
      <rPr>
        <b/>
        <sz val="8"/>
        <rFont val="Arial"/>
        <family val="2"/>
      </rPr>
      <t xml:space="preserve"> SBK</t>
    </r>
  </si>
  <si>
    <t xml:space="preserve">Mais, siliert </t>
  </si>
  <si>
    <t>eigener Mais, siliert</t>
  </si>
  <si>
    <t>Heu Mitte bis Ende Blüte</t>
  </si>
  <si>
    <t>Stroh, Weizen</t>
  </si>
  <si>
    <t>CCM, 65 % TM bis 3 % XF in TM</t>
  </si>
  <si>
    <t>CCM, 65 % TM bis 3 % XF auf 88 % TM</t>
  </si>
  <si>
    <t>CCM, 61 % TM über 3 % XF in TM</t>
  </si>
  <si>
    <t>CCM, 61 % TM über 3 % XF auf 88 % TM</t>
  </si>
  <si>
    <t xml:space="preserve">Aminosäuren für Schweine überwiegend berechnet nach den genaueren Regressionsschätzgleichungen von Evonik (früher Degussa) 1996, 2001, 2006 und 2011 </t>
  </si>
  <si>
    <t>Trockenschlempe Weizen getrocknet</t>
  </si>
  <si>
    <t>Trockenschlempe Gerste getrocknet</t>
  </si>
  <si>
    <t>Trockenschlempe Weizen, Gerste getrocknet</t>
  </si>
  <si>
    <t>eigene Bierhefe</t>
  </si>
  <si>
    <t>Quellenangabe: DLG Futterwerttabellen 2014, und 1991. DLG 2005: Kleiner Helfer für die Berechnung von Futterrationen. DLG 2009: Internet-Futtermitteldatenbank (FuDb).</t>
  </si>
  <si>
    <t>Dr. Thomas Priesmann, Dr. Lindermeyer (Futterberechnung für Schweine 15. Auflage 2007) und Prof. Dr. Uwe Herrmann Dobbin (Fette in der Schweinefütterung).</t>
  </si>
  <si>
    <t>GfE- und DLG-Versorgungsempfehlungen von 2006, 2008, 2010 und 2014</t>
  </si>
  <si>
    <r>
      <t xml:space="preserve">RES </t>
    </r>
    <r>
      <rPr>
        <sz val="6"/>
        <rFont val="Arial"/>
        <family val="2"/>
      </rPr>
      <t>Ø RES-Monitoring 2005-2014</t>
    </r>
  </si>
  <si>
    <t>Ø BRD</t>
  </si>
  <si>
    <t>ADF               om</t>
  </si>
  <si>
    <t>NDF               om</t>
  </si>
  <si>
    <t>Ferkelaufzuchtfutter I</t>
  </si>
  <si>
    <t>Ferkelaufzuchtfutter II</t>
  </si>
  <si>
    <t>Ferkel 20 - 30 kg LM - Ferkelaufzuchtfutter II</t>
  </si>
  <si>
    <t>Ferkel 12 - 20 kg LM - Ferkelaufzuchtfutter I</t>
  </si>
  <si>
    <t>MJ NE</t>
  </si>
  <si>
    <t>Nettoenergie (NE 7) Basis Mischfutter-formel</t>
  </si>
  <si>
    <t>35 - 50</t>
  </si>
  <si>
    <r>
      <rPr>
        <sz val="10"/>
        <rFont val="Calibri"/>
        <family val="2"/>
      </rPr>
      <t xml:space="preserve">≥ </t>
    </r>
    <r>
      <rPr>
        <sz val="10"/>
        <rFont val="Arial"/>
      </rPr>
      <t>15</t>
    </r>
  </si>
  <si>
    <t>Futterkurve  Ebermast 850g TZ in Anlehnung an den Rechenmeister NRW 2010 + 2014</t>
  </si>
  <si>
    <t>Futterkurven für Mastschweine nach GFE 2006, DLG 2010 und Rechenmeister 2010 + 2014</t>
  </si>
  <si>
    <t>Sojaöl / Pflanzenöl</t>
  </si>
  <si>
    <t>Rapsöl / Pflanzenöl</t>
  </si>
  <si>
    <t>Rapsöl / Pflanzenöl DLG 2014</t>
  </si>
  <si>
    <r>
      <t xml:space="preserve">Energieveränderungen (Austausch gegen Gerste, Qualitäten DLG </t>
    </r>
    <r>
      <rPr>
        <vertAlign val="subscript"/>
        <sz val="12"/>
        <rFont val="Arial"/>
        <family val="2"/>
      </rPr>
      <t>2014</t>
    </r>
    <r>
      <rPr>
        <sz val="12"/>
        <rFont val="Arial"/>
        <family val="2"/>
      </rPr>
      <t>)</t>
    </r>
  </si>
  <si>
    <r>
      <t xml:space="preserve">   Lysinveränderungen (Austausch gegen Gerste, Qualitäten DLG </t>
    </r>
    <r>
      <rPr>
        <vertAlign val="subscript"/>
        <sz val="12"/>
        <rFont val="Arial"/>
        <family val="2"/>
      </rPr>
      <t>2014</t>
    </r>
    <r>
      <rPr>
        <sz val="12"/>
        <rFont val="Arial"/>
        <family val="2"/>
      </rPr>
      <t>)</t>
    </r>
  </si>
  <si>
    <t>± 10% Weizen 13,7 MJ ME/kg</t>
  </si>
  <si>
    <t>± 10% Hafer 11,7 MJ ME/kg</t>
  </si>
  <si>
    <t>±   5 % Rapsschrot 00  9,9 MJ ME/kg</t>
  </si>
  <si>
    <t>±   1 % Soja-Öl 38,9 MJ ME/kg</t>
  </si>
  <si>
    <t xml:space="preserve">   ± 1% Sojaschrot 44,0% RP </t>
  </si>
  <si>
    <t xml:space="preserve">   ± 1% Fischmehl 57,3% RP </t>
  </si>
  <si>
    <t xml:space="preserve">   ± 1% Erbsen 22,1% RP</t>
  </si>
  <si>
    <t>±  0,11 MJ ME / kg</t>
  </si>
  <si>
    <t>±  0,09 MJ ME / kg</t>
  </si>
  <si>
    <t>±  0,26 MJ ME / kg</t>
  </si>
  <si>
    <t xml:space="preserve">  ±  0,33 g/kg</t>
  </si>
  <si>
    <t>± 0,30 g/kg</t>
  </si>
  <si>
    <t>N-frei Extrakt-stoffe (NfE)</t>
  </si>
  <si>
    <t>ab 80 kg LM</t>
  </si>
  <si>
    <t>RM</t>
  </si>
  <si>
    <t>12000 - 16000</t>
  </si>
  <si>
    <t>50 - 100</t>
  </si>
  <si>
    <t>20 - 60</t>
  </si>
  <si>
    <t>0 - 2</t>
  </si>
  <si>
    <t>1,5 - 2</t>
  </si>
  <si>
    <t>6 - 12</t>
  </si>
  <si>
    <t>50 - 75</t>
  </si>
  <si>
    <t>25 - 170</t>
  </si>
  <si>
    <t>0,25 - 0,5</t>
  </si>
  <si>
    <t>0,3 - 0,5</t>
  </si>
  <si>
    <t>0,2 - 0,5</t>
  </si>
  <si>
    <t>Bakteriell fermentier-bare Substanz (BfS)</t>
  </si>
  <si>
    <t>Vitamin A            (Vit A)</t>
  </si>
  <si>
    <t>Vitamin D            (Vit D)</t>
  </si>
  <si>
    <t>Vitamin E           (Vit E)</t>
  </si>
  <si>
    <r>
      <t xml:space="preserve">12000 </t>
    </r>
    <r>
      <rPr>
        <sz val="8"/>
        <color rgb="FFFF0000"/>
        <rFont val="Arial"/>
        <family val="2"/>
      </rPr>
      <t>- 15000</t>
    </r>
  </si>
  <si>
    <r>
      <t>12000</t>
    </r>
    <r>
      <rPr>
        <sz val="8"/>
        <color rgb="FFFF0000"/>
        <rFont val="Arial"/>
        <family val="2"/>
      </rPr>
      <t xml:space="preserve"> - 20000</t>
    </r>
  </si>
  <si>
    <r>
      <t>15000</t>
    </r>
    <r>
      <rPr>
        <sz val="8"/>
        <color rgb="FFFF0000"/>
        <rFont val="Arial"/>
        <family val="2"/>
      </rPr>
      <t xml:space="preserve"> - 20000</t>
    </r>
  </si>
  <si>
    <r>
      <t xml:space="preserve">12000 </t>
    </r>
    <r>
      <rPr>
        <sz val="8"/>
        <color rgb="FFFF0000"/>
        <rFont val="Arial"/>
        <family val="2"/>
      </rPr>
      <t>- 20000</t>
    </r>
  </si>
  <si>
    <t>(12000 *)</t>
  </si>
  <si>
    <t>(16000 *)</t>
  </si>
  <si>
    <t>(6500 *)</t>
  </si>
  <si>
    <t>Vit. In Anlehnung an RM</t>
  </si>
  <si>
    <t>Anfangsmast ab 40 Kg LM für 850 g TZ*</t>
  </si>
  <si>
    <t>***  Nach DLG Untersuchungsbefunde 2004 und Angaben von repräsentativen Mineralfutterherstellern (Vit. A nach neueren gesetzlichen Höchstgehalten angepasst)</t>
  </si>
  <si>
    <t>**   Auf Anfrage teilt der Mischfutterhersteller den genauen Gehalt an vP mit</t>
  </si>
  <si>
    <t>Kali-um         K</t>
  </si>
  <si>
    <t>Ausgabe XXI März 2016</t>
  </si>
  <si>
    <t>NDFom</t>
  </si>
  <si>
    <t>ADFom</t>
  </si>
  <si>
    <t>Mastschweine 6500 I.E. Ferkel 16000 I.E., Sauen 12000 I.E</t>
  </si>
  <si>
    <t>LWK Nds.</t>
  </si>
  <si>
    <t>10000 - 15000</t>
  </si>
  <si>
    <t>600 - 1000</t>
  </si>
  <si>
    <r>
      <t>15</t>
    </r>
    <r>
      <rPr>
        <vertAlign val="superscript"/>
        <sz val="8"/>
        <color theme="1"/>
        <rFont val="Arial"/>
        <family val="2"/>
      </rPr>
      <t xml:space="preserve"> a) </t>
    </r>
    <r>
      <rPr>
        <sz val="8"/>
        <color theme="1"/>
        <rFont val="Arial"/>
        <family val="2"/>
      </rPr>
      <t>- 30</t>
    </r>
    <r>
      <rPr>
        <vertAlign val="superscript"/>
        <sz val="8"/>
        <color theme="1"/>
        <rFont val="Arial"/>
        <family val="2"/>
      </rPr>
      <t xml:space="preserve"> b)</t>
    </r>
  </si>
  <si>
    <r>
      <t xml:space="preserve">225 - 285 </t>
    </r>
    <r>
      <rPr>
        <vertAlign val="superscript"/>
        <sz val="8"/>
        <color theme="1"/>
        <rFont val="Arial"/>
        <family val="2"/>
      </rPr>
      <t>2)</t>
    </r>
  </si>
  <si>
    <r>
      <t xml:space="preserve">170 - 335 </t>
    </r>
    <r>
      <rPr>
        <vertAlign val="superscript"/>
        <sz val="8"/>
        <color theme="1"/>
        <rFont val="Arial"/>
        <family val="2"/>
      </rPr>
      <t>3)</t>
    </r>
  </si>
  <si>
    <t>30 - 60</t>
  </si>
  <si>
    <r>
      <t xml:space="preserve">250 </t>
    </r>
    <r>
      <rPr>
        <vertAlign val="superscript"/>
        <sz val="8"/>
        <color theme="1"/>
        <rFont val="Arial"/>
        <family val="2"/>
      </rPr>
      <t>1)</t>
    </r>
  </si>
  <si>
    <r>
      <t xml:space="preserve">150 - 200 </t>
    </r>
    <r>
      <rPr>
        <vertAlign val="superscript"/>
        <sz val="8"/>
        <color theme="1"/>
        <rFont val="Arial"/>
        <family val="2"/>
      </rPr>
      <t>3)</t>
    </r>
  </si>
  <si>
    <r>
      <t>K</t>
    </r>
    <r>
      <rPr>
        <vertAlign val="subscript"/>
        <sz val="8"/>
        <color theme="1"/>
        <rFont val="Arial"/>
        <family val="2"/>
      </rPr>
      <t>3</t>
    </r>
  </si>
  <si>
    <r>
      <t xml:space="preserve">(0,1) </t>
    </r>
    <r>
      <rPr>
        <vertAlign val="superscript"/>
        <sz val="8"/>
        <color theme="1"/>
        <rFont val="Arial"/>
        <family val="2"/>
      </rPr>
      <t>4)</t>
    </r>
  </si>
  <si>
    <t>1 - 3</t>
  </si>
  <si>
    <r>
      <t>B</t>
    </r>
    <r>
      <rPr>
        <vertAlign val="subscript"/>
        <sz val="8"/>
        <color theme="1"/>
        <rFont val="Arial"/>
        <family val="2"/>
      </rPr>
      <t>1</t>
    </r>
  </si>
  <si>
    <r>
      <t>B</t>
    </r>
    <r>
      <rPr>
        <vertAlign val="subscript"/>
        <sz val="8"/>
        <color theme="1"/>
        <rFont val="Arial"/>
        <family val="2"/>
      </rPr>
      <t>2</t>
    </r>
  </si>
  <si>
    <t>4 - 7</t>
  </si>
  <si>
    <r>
      <t>B</t>
    </r>
    <r>
      <rPr>
        <vertAlign val="subscript"/>
        <sz val="8"/>
        <color theme="1"/>
        <rFont val="Arial"/>
        <family val="2"/>
      </rPr>
      <t>6</t>
    </r>
  </si>
  <si>
    <t>2 - 5</t>
  </si>
  <si>
    <t>3 - 6</t>
  </si>
  <si>
    <r>
      <t>B</t>
    </r>
    <r>
      <rPr>
        <vertAlign val="subscript"/>
        <sz val="8"/>
        <color theme="1"/>
        <rFont val="Arial"/>
        <family val="2"/>
      </rPr>
      <t>12</t>
    </r>
  </si>
  <si>
    <t>200</t>
  </si>
  <si>
    <t>Niacin (Nikotinsäure)</t>
  </si>
  <si>
    <t>25 - 45</t>
  </si>
  <si>
    <t>10 - 16</t>
  </si>
  <si>
    <r>
      <t xml:space="preserve">100 - 150 </t>
    </r>
    <r>
      <rPr>
        <vertAlign val="superscript"/>
        <sz val="8"/>
        <color theme="1"/>
        <rFont val="Arial"/>
        <family val="2"/>
      </rPr>
      <t>5)</t>
    </r>
  </si>
  <si>
    <r>
      <t xml:space="preserve">150 - 200 </t>
    </r>
    <r>
      <rPr>
        <vertAlign val="superscript"/>
        <sz val="8"/>
        <color theme="1"/>
        <rFont val="Arial"/>
        <family val="2"/>
      </rPr>
      <t>5)</t>
    </r>
  </si>
  <si>
    <r>
      <t xml:space="preserve">150 - 200 </t>
    </r>
    <r>
      <rPr>
        <vertAlign val="superscript"/>
        <sz val="8"/>
        <color theme="1"/>
        <rFont val="Arial"/>
        <family val="2"/>
      </rPr>
      <t>6)</t>
    </r>
  </si>
  <si>
    <r>
      <t xml:space="preserve">50 - 100 </t>
    </r>
    <r>
      <rPr>
        <vertAlign val="superscript"/>
        <sz val="8"/>
        <color theme="1"/>
        <rFont val="Arial"/>
        <family val="2"/>
      </rPr>
      <t>5)</t>
    </r>
  </si>
  <si>
    <r>
      <t>300</t>
    </r>
    <r>
      <rPr>
        <vertAlign val="superscript"/>
        <sz val="8"/>
        <color theme="1"/>
        <rFont val="Arial"/>
        <family val="2"/>
      </rPr>
      <t xml:space="preserve"> 6)</t>
    </r>
  </si>
  <si>
    <r>
      <t xml:space="preserve">100 </t>
    </r>
    <r>
      <rPr>
        <vertAlign val="superscript"/>
        <sz val="8"/>
        <color theme="1"/>
        <rFont val="Arial"/>
        <family val="2"/>
      </rPr>
      <t>7)</t>
    </r>
  </si>
  <si>
    <r>
      <t xml:space="preserve">100 - 120 </t>
    </r>
    <r>
      <rPr>
        <vertAlign val="superscript"/>
        <sz val="8"/>
        <color theme="1"/>
        <rFont val="Arial"/>
        <family val="2"/>
      </rPr>
      <t>7)</t>
    </r>
  </si>
  <si>
    <r>
      <t xml:space="preserve">100 - 150 </t>
    </r>
    <r>
      <rPr>
        <vertAlign val="superscript"/>
        <sz val="8"/>
        <color theme="1"/>
        <rFont val="Arial"/>
        <family val="2"/>
      </rPr>
      <t>7)</t>
    </r>
  </si>
  <si>
    <t>&gt; 50</t>
  </si>
  <si>
    <r>
      <t xml:space="preserve">165 </t>
    </r>
    <r>
      <rPr>
        <vertAlign val="superscript"/>
        <sz val="8"/>
        <color theme="1"/>
        <rFont val="Arial"/>
        <family val="2"/>
      </rPr>
      <t>7)</t>
    </r>
  </si>
  <si>
    <r>
      <t>8</t>
    </r>
    <r>
      <rPr>
        <vertAlign val="superscript"/>
        <sz val="8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- 10</t>
    </r>
    <r>
      <rPr>
        <vertAlign val="superscript"/>
        <sz val="8"/>
        <color theme="1"/>
        <rFont val="Arial"/>
        <family val="2"/>
      </rPr>
      <t>b)</t>
    </r>
  </si>
  <si>
    <t>&gt; 10</t>
  </si>
  <si>
    <t>&gt; 20</t>
  </si>
  <si>
    <r>
      <t>0,6 - 0,7 (1,0)</t>
    </r>
    <r>
      <rPr>
        <vertAlign val="superscript"/>
        <sz val="8"/>
        <rFont val="Arial"/>
        <family val="2"/>
      </rPr>
      <t xml:space="preserve"> 8)</t>
    </r>
  </si>
  <si>
    <r>
      <t xml:space="preserve">0,15 - 0,20 (0,30) </t>
    </r>
    <r>
      <rPr>
        <vertAlign val="superscript"/>
        <sz val="8"/>
        <rFont val="Arial"/>
        <family val="2"/>
      </rPr>
      <t>8)</t>
    </r>
  </si>
  <si>
    <r>
      <t xml:space="preserve">&gt; 0,15 (0,5) </t>
    </r>
    <r>
      <rPr>
        <vertAlign val="superscript"/>
        <sz val="8"/>
        <color theme="1"/>
        <rFont val="Arial"/>
        <family val="2"/>
      </rPr>
      <t>8)</t>
    </r>
  </si>
  <si>
    <t>0,3 - 0,4</t>
  </si>
  <si>
    <t>&gt; 0,2</t>
  </si>
  <si>
    <t>Quelle: DLG-Information 1/2008, DLG "Erfolgreiche Mastschweinefütterung" 2010, LfL "Futterberechnung für Schweine" 15. Auflage 2007, offizielle Beraterempfehlungen der LWK Nds. 2015, RM=Rechenmeister NRW 2014, National Swine Nutrition Guide 2006 Autoren: Duane E. Reese, University of Nebraska, Gretchen Myers Hill, Michigan State University, AWT "Vitamine in der Tierernährung" 2001 und Grüne Broschüre Futtermittelrecht 2009</t>
  </si>
  <si>
    <r>
      <t>8)</t>
    </r>
    <r>
      <rPr>
        <vertAlign val="superscript"/>
        <sz val="7"/>
        <rFont val="Times New Roman"/>
        <family val="1"/>
      </rPr>
      <t xml:space="preserve">    </t>
    </r>
    <r>
      <rPr>
        <sz val="8"/>
        <rFont val="Arial"/>
        <family val="2"/>
      </rPr>
      <t>bei Einsatz von glucosinolathaltigen Futtermitteln (z.B. Rapsschrot) Erhöhung erforderlich,</t>
    </r>
  </si>
  <si>
    <t xml:space="preserve">    wenn Glucosinolatgehalt &gt; 1,5 mmol/kg Futter</t>
  </si>
  <si>
    <t xml:space="preserve"> geändert nach GFE 2006, DLG 2010, 2008 und Rechenmeister (RM) 2016, 2014, 2010, 2007 der LWK NRW</t>
  </si>
  <si>
    <t>Ausgabe XXII Okt. 2016</t>
  </si>
  <si>
    <t>eigener Weizen 11% RP Ø 2016</t>
  </si>
  <si>
    <t>eigene Gerste 11% RP Ø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</si>
</sst>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-* #,##0.00\ &quot;€&quot;_-;\-* #,##0.00\ &quot;€&quot;_-;_-* &quot;-&quot;??\ &quot;€&quot;_-;_-@_-"/>
    <numFmt numFmtId="164" formatCode="0.0"/>
    <numFmt numFmtId="165" formatCode="0.0%"/>
    <numFmt numFmtId="166" formatCode="#,##0.00\ &quot;€&quot;"/>
    <numFmt numFmtId="167" formatCode="dd/mm/yy;@"/>
    <numFmt numFmtId="168" formatCode="0.000"/>
    <numFmt numFmtId="169" formatCode="_-* #,##0.00\ [$€-1]_-;\-* #,##0.00\ [$€-1]_-;_-* &quot;-&quot;??\ [$€-1]_-"/>
    <numFmt numFmtId="170" formatCode="#,##0.00\ [$€-1];\-#,##0.00\ [$€-1]"/>
    <numFmt numFmtId="171" formatCode="0&quot; g&quot;"/>
    <numFmt numFmtId="172" formatCode="0.?"/>
    <numFmt numFmtId="173" formatCode="0.0&quot; kg/d&quot;"/>
    <numFmt numFmtId="174" formatCode="0\ &quot; kg&quot;"/>
    <numFmt numFmtId="175" formatCode="0&quot; °C&quot;"/>
    <numFmt numFmtId="176" formatCode="0.0\ &quot; MJ ME&quot;"/>
    <numFmt numFmtId="177" formatCode="0&quot; g RP&quot;"/>
    <numFmt numFmtId="178" formatCode="0&quot; Tage&quot;"/>
    <numFmt numFmtId="179" formatCode="0.0&quot; kg&quot;"/>
    <numFmt numFmtId="180" formatCode="0&quot; % RP&quot;"/>
    <numFmt numFmtId="181" formatCode="0\ &quot;kg&quot;"/>
    <numFmt numFmtId="182" formatCode="0.0_ ;[Red]\-0.0\ "/>
    <numFmt numFmtId="183" formatCode="0_ ;[Red]\-0\ "/>
    <numFmt numFmtId="184" formatCode="0.00_ ;[Red]\-0.00\ "/>
    <numFmt numFmtId="185" formatCode="0.00_ ;\-0.00\ "/>
    <numFmt numFmtId="186" formatCode="0.00\ &quot;/&quot;"/>
    <numFmt numFmtId="187" formatCode="&quot;&lt; &quot;0"/>
    <numFmt numFmtId="188" formatCode="&quot;&gt; &quot;0"/>
    <numFmt numFmtId="189" formatCode="&quot;&gt;&quot;\ 0"/>
    <numFmt numFmtId="190" formatCode="&quot;&lt;&quot;\ 0"/>
    <numFmt numFmtId="191" formatCode="0_ ;\-0\ "/>
  </numFmts>
  <fonts count="1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  <font>
      <b/>
      <u/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Arial"/>
      <family val="2"/>
    </font>
    <font>
      <b/>
      <u/>
      <sz val="24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9"/>
      <color indexed="12"/>
      <name val="Arial"/>
      <family val="2"/>
    </font>
    <font>
      <sz val="11"/>
      <color indexed="8"/>
      <name val="Arial"/>
      <family val="2"/>
    </font>
    <font>
      <i/>
      <sz val="10"/>
      <color indexed="12"/>
      <name val="Arial"/>
      <family val="2"/>
    </font>
    <font>
      <b/>
      <sz val="8"/>
      <color indexed="8"/>
      <name val="Arial"/>
      <family val="2"/>
    </font>
    <font>
      <b/>
      <u/>
      <sz val="22"/>
      <name val="Arial"/>
      <family val="2"/>
    </font>
    <font>
      <u/>
      <sz val="22"/>
      <name val="Arial"/>
      <family val="2"/>
    </font>
    <font>
      <b/>
      <u/>
      <sz val="26"/>
      <color indexed="8"/>
      <name val="Arial"/>
      <family val="2"/>
    </font>
    <font>
      <b/>
      <u/>
      <sz val="26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10"/>
      <color indexed="8"/>
      <name val="Arial"/>
      <family val="2"/>
    </font>
    <font>
      <sz val="8"/>
      <name val="Times New Roman"/>
      <family val="1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vertAlign val="superscript"/>
      <sz val="7"/>
      <name val="Times New Roman"/>
      <family val="1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vertAlign val="superscript"/>
      <sz val="10"/>
      <name val="Arial"/>
      <family val="2"/>
    </font>
    <font>
      <b/>
      <u/>
      <sz val="16"/>
      <name val="Arial"/>
      <family val="2"/>
    </font>
    <font>
      <b/>
      <sz val="10"/>
      <color indexed="12"/>
      <name val="Tahoma"/>
      <family val="2"/>
    </font>
    <font>
      <b/>
      <sz val="8"/>
      <color indexed="41"/>
      <name val="Arial"/>
      <family val="2"/>
    </font>
    <font>
      <b/>
      <sz val="7.5"/>
      <name val="Arial"/>
      <family val="2"/>
    </font>
    <font>
      <b/>
      <u/>
      <sz val="8"/>
      <name val="Arial"/>
      <family val="2"/>
    </font>
    <font>
      <sz val="10"/>
      <name val="Calibri"/>
      <family val="2"/>
    </font>
    <font>
      <b/>
      <u/>
      <sz val="8"/>
      <color indexed="8"/>
      <name val="Arial"/>
      <family val="2"/>
    </font>
    <font>
      <sz val="8"/>
      <name val="Arial"/>
      <family val="2"/>
    </font>
    <font>
      <b/>
      <sz val="11"/>
      <name val="Comic Sans MS"/>
      <family val="4"/>
    </font>
    <font>
      <b/>
      <sz val="14"/>
      <name val="Comic Sans MS"/>
      <family val="4"/>
    </font>
    <font>
      <b/>
      <sz val="11"/>
      <color indexed="81"/>
      <name val="Tahoma"/>
      <family val="2"/>
    </font>
    <font>
      <vertAlign val="subscript"/>
      <sz val="12"/>
      <name val="Arial"/>
      <family val="2"/>
    </font>
    <font>
      <b/>
      <u/>
      <sz val="9"/>
      <name val="Arial"/>
      <family val="2"/>
    </font>
    <font>
      <b/>
      <sz val="10"/>
      <name val="Calibri"/>
      <family val="2"/>
    </font>
    <font>
      <b/>
      <u/>
      <sz val="28"/>
      <color indexed="8"/>
      <name val="Arial"/>
      <family val="2"/>
    </font>
    <font>
      <b/>
      <sz val="11"/>
      <color indexed="60"/>
      <name val="Arial"/>
      <family val="2"/>
    </font>
    <font>
      <b/>
      <sz val="11"/>
      <color indexed="62"/>
      <name val="Arial"/>
      <family val="2"/>
    </font>
    <font>
      <b/>
      <vertAlign val="subscript"/>
      <sz val="11"/>
      <color indexed="56"/>
      <name val="Arial"/>
      <family val="2"/>
    </font>
    <font>
      <vertAlign val="subscript"/>
      <sz val="11"/>
      <color indexed="56"/>
      <name val="Arial"/>
      <family val="2"/>
    </font>
    <font>
      <b/>
      <sz val="18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4"/>
      <name val="Arial"/>
      <family val="2"/>
    </font>
    <font>
      <b/>
      <sz val="9"/>
      <color indexed="81"/>
      <name val="Arial"/>
      <family val="2"/>
    </font>
    <font>
      <b/>
      <sz val="20"/>
      <name val="Arial"/>
      <family val="2"/>
    </font>
    <font>
      <vertAlign val="superscript"/>
      <sz val="11"/>
      <name val="Arial"/>
      <family val="2"/>
    </font>
    <font>
      <vertAlign val="superscript"/>
      <sz val="8"/>
      <name val="Times New Roman"/>
      <family val="1"/>
    </font>
    <font>
      <b/>
      <sz val="11"/>
      <color indexed="8"/>
      <name val="Arial"/>
      <family val="2"/>
    </font>
    <font>
      <b/>
      <sz val="22"/>
      <name val="Comic Sans MS"/>
      <family val="4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C00000"/>
      <name val="Arial"/>
      <family val="2"/>
    </font>
    <font>
      <b/>
      <sz val="12"/>
      <color theme="9" tint="-0.499984740745262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C00000"/>
      <name val="Arial"/>
      <family val="2"/>
    </font>
    <font>
      <b/>
      <sz val="11"/>
      <color theme="3"/>
      <name val="Arial"/>
      <family val="2"/>
    </font>
    <font>
      <sz val="10"/>
      <color rgb="FF002060"/>
      <name val="Arial"/>
      <family val="2"/>
    </font>
    <font>
      <b/>
      <sz val="11"/>
      <color theme="6" tint="-0.499984740745262"/>
      <name val="Arial"/>
      <family val="2"/>
    </font>
    <font>
      <b/>
      <sz val="12"/>
      <color theme="3" tint="-0.249977111117893"/>
      <name val="Arial"/>
      <family val="2"/>
    </font>
    <font>
      <sz val="14"/>
      <color rgb="FF002060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1"/>
      <name val="Arial"/>
      <family val="2"/>
    </font>
    <font>
      <b/>
      <u/>
      <sz val="11"/>
      <color rgb="FF0000FF"/>
      <name val="Comic Sans MS"/>
      <family val="4"/>
    </font>
    <font>
      <b/>
      <sz val="10"/>
      <color theme="1"/>
      <name val="Arial"/>
      <family val="2"/>
    </font>
    <font>
      <b/>
      <i/>
      <u/>
      <sz val="9"/>
      <name val="Arial"/>
      <family val="2"/>
    </font>
    <font>
      <sz val="8"/>
      <color rgb="FFFF0000"/>
      <name val="Arial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rgb="FF000000"/>
      <name val="Comic Sans MS"/>
    </font>
  </fonts>
  <fills count="2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E66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7">
    <xf numFmtId="0" fontId="0" fillId="0" borderId="0"/>
    <xf numFmtId="0" fontId="10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949"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/>
    <xf numFmtId="164" fontId="17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7" fillId="0" borderId="0" xfId="0" applyFont="1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top"/>
    </xf>
    <xf numFmtId="0" fontId="8" fillId="3" borderId="0" xfId="0" applyFont="1" applyFill="1"/>
    <xf numFmtId="0" fontId="3" fillId="3" borderId="0" xfId="0" applyFont="1" applyFill="1"/>
    <xf numFmtId="49" fontId="15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6" fillId="2" borderId="0" xfId="0" applyNumberFormat="1" applyFont="1" applyFill="1"/>
    <xf numFmtId="0" fontId="1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NumberFormat="1" applyFont="1" applyFill="1"/>
    <xf numFmtId="0" fontId="12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/>
    <xf numFmtId="0" fontId="12" fillId="2" borderId="0" xfId="0" applyNumberFormat="1" applyFont="1" applyFill="1" applyBorder="1"/>
    <xf numFmtId="0" fontId="13" fillId="2" borderId="0" xfId="0" applyNumberFormat="1" applyFont="1" applyFill="1" applyBorder="1"/>
    <xf numFmtId="0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8" fillId="2" borderId="0" xfId="0" applyFont="1" applyFill="1"/>
    <xf numFmtId="0" fontId="9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2" fontId="0" fillId="2" borderId="0" xfId="0" applyNumberFormat="1" applyFill="1"/>
    <xf numFmtId="0" fontId="3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2" xfId="0" applyNumberFormat="1" applyFill="1" applyBorder="1" applyAlignment="1">
      <alignment horizontal="center"/>
    </xf>
    <xf numFmtId="44" fontId="0" fillId="0" borderId="0" xfId="6" applyFont="1"/>
    <xf numFmtId="164" fontId="10" fillId="5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vertical="center"/>
    </xf>
    <xf numFmtId="1" fontId="16" fillId="4" borderId="7" xfId="0" applyNumberFormat="1" applyFont="1" applyFill="1" applyBorder="1" applyAlignment="1">
      <alignment horizontal="centerContinuous" vertical="center"/>
    </xf>
    <xf numFmtId="1" fontId="2" fillId="4" borderId="7" xfId="0" applyNumberFormat="1" applyFont="1" applyFill="1" applyBorder="1" applyAlignment="1">
      <alignment horizontal="centerContinuous" vertical="center"/>
    </xf>
    <xf numFmtId="164" fontId="2" fillId="4" borderId="7" xfId="0" applyNumberFormat="1" applyFont="1" applyFill="1" applyBorder="1" applyAlignment="1">
      <alignment horizontal="centerContinuous" vertical="center"/>
    </xf>
    <xf numFmtId="44" fontId="8" fillId="3" borderId="0" xfId="6" applyFont="1" applyFill="1"/>
    <xf numFmtId="44" fontId="0" fillId="3" borderId="0" xfId="6" applyFont="1" applyFill="1"/>
    <xf numFmtId="0" fontId="25" fillId="3" borderId="0" xfId="0" applyFont="1" applyFill="1"/>
    <xf numFmtId="0" fontId="27" fillId="3" borderId="0" xfId="0" applyFont="1" applyFill="1"/>
    <xf numFmtId="1" fontId="0" fillId="2" borderId="0" xfId="0" applyNumberFormat="1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44" fontId="0" fillId="3" borderId="0" xfId="0" applyNumberFormat="1" applyFill="1"/>
    <xf numFmtId="0" fontId="39" fillId="3" borderId="0" xfId="0" applyFont="1" applyFill="1" applyAlignment="1">
      <alignment vertical="center"/>
    </xf>
    <xf numFmtId="0" fontId="40" fillId="6" borderId="6" xfId="0" applyFont="1" applyFill="1" applyBorder="1" applyAlignment="1">
      <alignment vertical="center"/>
    </xf>
    <xf numFmtId="0" fontId="40" fillId="6" borderId="6" xfId="0" applyFont="1" applyFill="1" applyBorder="1" applyAlignment="1">
      <alignment horizontal="right" vertical="center"/>
    </xf>
    <xf numFmtId="0" fontId="40" fillId="6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right" vertical="center"/>
    </xf>
    <xf numFmtId="164" fontId="0" fillId="3" borderId="6" xfId="0" applyNumberForma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8" fillId="2" borderId="0" xfId="0" applyFont="1" applyFill="1" applyAlignment="1">
      <alignment horizontal="left"/>
    </xf>
    <xf numFmtId="0" fontId="37" fillId="2" borderId="0" xfId="0" applyFont="1" applyFill="1" applyAlignment="1">
      <alignment horizontal="center"/>
    </xf>
    <xf numFmtId="164" fontId="37" fillId="2" borderId="0" xfId="0" applyNumberFormat="1" applyFont="1" applyFill="1" applyAlignment="1">
      <alignment horizontal="center"/>
    </xf>
    <xf numFmtId="44" fontId="2" fillId="0" borderId="8" xfId="6" applyFont="1" applyFill="1" applyBorder="1" applyAlignment="1" applyProtection="1">
      <alignment horizontal="center" vertical="center"/>
      <protection locked="0"/>
    </xf>
    <xf numFmtId="44" fontId="8" fillId="3" borderId="0" xfId="6" applyFont="1" applyFill="1" applyAlignment="1">
      <alignment horizontal="center"/>
    </xf>
    <xf numFmtId="44" fontId="0" fillId="3" borderId="0" xfId="6" applyFont="1" applyFill="1" applyAlignment="1">
      <alignment horizontal="center"/>
    </xf>
    <xf numFmtId="44" fontId="2" fillId="0" borderId="8" xfId="6" applyFont="1" applyFill="1" applyBorder="1" applyAlignment="1" applyProtection="1">
      <alignment horizontal="center"/>
      <protection locked="0"/>
    </xf>
    <xf numFmtId="44" fontId="0" fillId="0" borderId="0" xfId="6" applyFont="1" applyAlignment="1">
      <alignment horizontal="center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/>
    <xf numFmtId="0" fontId="0" fillId="3" borderId="0" xfId="0" applyFill="1" applyAlignment="1">
      <alignment horizontal="center" vertical="center" wrapText="1"/>
    </xf>
    <xf numFmtId="0" fontId="40" fillId="6" borderId="9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42" fillId="3" borderId="0" xfId="0" applyFont="1" applyFill="1"/>
    <xf numFmtId="0" fontId="42" fillId="7" borderId="10" xfId="0" applyFont="1" applyFill="1" applyBorder="1" applyAlignment="1">
      <alignment horizontal="center"/>
    </xf>
    <xf numFmtId="1" fontId="42" fillId="7" borderId="0" xfId="0" applyNumberFormat="1" applyFont="1" applyFill="1" applyBorder="1" applyAlignment="1">
      <alignment horizontal="center"/>
    </xf>
    <xf numFmtId="164" fontId="42" fillId="7" borderId="4" xfId="0" applyNumberFormat="1" applyFont="1" applyFill="1" applyBorder="1" applyAlignment="1">
      <alignment horizontal="center"/>
    </xf>
    <xf numFmtId="0" fontId="42" fillId="5" borderId="10" xfId="0" applyFont="1" applyFill="1" applyBorder="1" applyAlignment="1">
      <alignment horizontal="center"/>
    </xf>
    <xf numFmtId="1" fontId="42" fillId="5" borderId="0" xfId="0" applyNumberFormat="1" applyFont="1" applyFill="1" applyBorder="1" applyAlignment="1">
      <alignment horizontal="center"/>
    </xf>
    <xf numFmtId="164" fontId="42" fillId="5" borderId="4" xfId="0" applyNumberFormat="1" applyFont="1" applyFill="1" applyBorder="1" applyAlignment="1">
      <alignment horizontal="center"/>
    </xf>
    <xf numFmtId="0" fontId="42" fillId="2" borderId="10" xfId="0" applyFont="1" applyFill="1" applyBorder="1" applyAlignment="1">
      <alignment horizontal="center"/>
    </xf>
    <xf numFmtId="1" fontId="42" fillId="2" borderId="0" xfId="0" applyNumberFormat="1" applyFont="1" applyFill="1" applyBorder="1" applyAlignment="1">
      <alignment horizontal="center"/>
    </xf>
    <xf numFmtId="164" fontId="42" fillId="2" borderId="4" xfId="0" applyNumberFormat="1" applyFont="1" applyFill="1" applyBorder="1" applyAlignment="1">
      <alignment horizontal="center"/>
    </xf>
    <xf numFmtId="0" fontId="42" fillId="8" borderId="10" xfId="0" applyFont="1" applyFill="1" applyBorder="1" applyAlignment="1">
      <alignment horizontal="center"/>
    </xf>
    <xf numFmtId="0" fontId="42" fillId="9" borderId="10" xfId="0" applyFont="1" applyFill="1" applyBorder="1" applyAlignment="1">
      <alignment horizontal="center"/>
    </xf>
    <xf numFmtId="164" fontId="42" fillId="9" borderId="4" xfId="0" applyNumberFormat="1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 vertical="center" wrapText="1"/>
    </xf>
    <xf numFmtId="1" fontId="29" fillId="6" borderId="6" xfId="0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vertical="center" wrapText="1"/>
    </xf>
    <xf numFmtId="0" fontId="33" fillId="3" borderId="0" xfId="0" applyFont="1" applyFill="1"/>
    <xf numFmtId="0" fontId="33" fillId="8" borderId="10" xfId="0" applyFont="1" applyFill="1" applyBorder="1" applyAlignment="1">
      <alignment horizontal="center"/>
    </xf>
    <xf numFmtId="1" fontId="33" fillId="8" borderId="0" xfId="0" applyNumberFormat="1" applyFont="1" applyFill="1" applyBorder="1" applyAlignment="1">
      <alignment horizontal="center"/>
    </xf>
    <xf numFmtId="164" fontId="33" fillId="8" borderId="4" xfId="0" applyNumberFormat="1" applyFont="1" applyFill="1" applyBorder="1" applyAlignment="1">
      <alignment horizontal="center"/>
    </xf>
    <xf numFmtId="1" fontId="33" fillId="2" borderId="3" xfId="0" applyNumberFormat="1" applyFont="1" applyFill="1" applyBorder="1" applyAlignment="1">
      <alignment horizontal="center"/>
    </xf>
    <xf numFmtId="164" fontId="33" fillId="2" borderId="11" xfId="0" applyNumberFormat="1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164" fontId="28" fillId="8" borderId="4" xfId="0" applyNumberFormat="1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164" fontId="0" fillId="3" borderId="0" xfId="0" applyNumberForma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28" fillId="9" borderId="0" xfId="0" applyNumberFormat="1" applyFont="1" applyFill="1" applyBorder="1" applyAlignment="1">
      <alignment horizontal="center"/>
    </xf>
    <xf numFmtId="1" fontId="48" fillId="6" borderId="10" xfId="0" applyNumberFormat="1" applyFont="1" applyFill="1" applyBorder="1" applyAlignment="1">
      <alignment horizontal="center"/>
    </xf>
    <xf numFmtId="1" fontId="48" fillId="6" borderId="12" xfId="0" applyNumberFormat="1" applyFont="1" applyFill="1" applyBorder="1" applyAlignment="1">
      <alignment horizontal="center"/>
    </xf>
    <xf numFmtId="1" fontId="28" fillId="8" borderId="0" xfId="0" applyNumberFormat="1" applyFont="1" applyFill="1" applyBorder="1" applyAlignment="1">
      <alignment horizontal="center"/>
    </xf>
    <xf numFmtId="0" fontId="28" fillId="3" borderId="0" xfId="0" applyFont="1" applyFill="1"/>
    <xf numFmtId="1" fontId="28" fillId="9" borderId="10" xfId="0" applyNumberFormat="1" applyFont="1" applyFill="1" applyBorder="1" applyAlignment="1">
      <alignment horizontal="center"/>
    </xf>
    <xf numFmtId="164" fontId="40" fillId="6" borderId="13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>
      <alignment horizontal="center" vertical="center"/>
    </xf>
    <xf numFmtId="0" fontId="13" fillId="7" borderId="4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7" borderId="1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horizontal="center" vertical="center"/>
    </xf>
    <xf numFmtId="0" fontId="14" fillId="7" borderId="4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7" borderId="11" xfId="0" applyNumberFormat="1" applyFont="1" applyFill="1" applyBorder="1" applyAlignment="1">
      <alignment horizontal="center" vertical="center"/>
    </xf>
    <xf numFmtId="0" fontId="14" fillId="2" borderId="11" xfId="0" applyNumberFormat="1" applyFont="1" applyFill="1" applyBorder="1" applyAlignment="1">
      <alignment horizontal="center" vertical="center"/>
    </xf>
    <xf numFmtId="0" fontId="14" fillId="7" borderId="3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Continuous" vertical="center"/>
    </xf>
    <xf numFmtId="0" fontId="14" fillId="2" borderId="3" xfId="0" applyNumberFormat="1" applyFont="1" applyFill="1" applyBorder="1" applyAlignment="1">
      <alignment horizontal="center" vertical="center"/>
    </xf>
    <xf numFmtId="0" fontId="50" fillId="3" borderId="6" xfId="0" applyNumberFormat="1" applyFont="1" applyFill="1" applyBorder="1" applyAlignment="1" applyProtection="1">
      <alignment horizontal="center" vertical="center"/>
      <protection locked="0"/>
    </xf>
    <xf numFmtId="0" fontId="50" fillId="3" borderId="6" xfId="0" applyNumberFormat="1" applyFont="1" applyFill="1" applyBorder="1" applyAlignment="1" applyProtection="1">
      <alignment horizontal="centerContinuous" vertical="center"/>
      <protection locked="0"/>
    </xf>
    <xf numFmtId="0" fontId="14" fillId="2" borderId="1" xfId="0" applyNumberFormat="1" applyFont="1" applyFill="1" applyBorder="1" applyAlignment="1">
      <alignment horizontal="center" vertical="center"/>
    </xf>
    <xf numFmtId="0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6" xfId="0" applyNumberFormat="1" applyFont="1" applyFill="1" applyBorder="1" applyAlignment="1" applyProtection="1">
      <alignment horizontal="centerContinuous" vertical="center"/>
      <protection locked="0"/>
    </xf>
    <xf numFmtId="0" fontId="14" fillId="4" borderId="6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164" fontId="0" fillId="9" borderId="0" xfId="0" applyNumberForma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33" fillId="5" borderId="10" xfId="0" applyFont="1" applyFill="1" applyBorder="1" applyAlignment="1">
      <alignment horizontal="center"/>
    </xf>
    <xf numFmtId="164" fontId="33" fillId="5" borderId="4" xfId="0" applyNumberFormat="1" applyFont="1" applyFill="1" applyBorder="1" applyAlignment="1">
      <alignment horizontal="center"/>
    </xf>
    <xf numFmtId="164" fontId="45" fillId="10" borderId="9" xfId="0" applyNumberFormat="1" applyFont="1" applyFill="1" applyBorder="1" applyAlignment="1" applyProtection="1">
      <alignment horizontal="center" vertical="center"/>
      <protection locked="0"/>
    </xf>
    <xf numFmtId="164" fontId="45" fillId="10" borderId="14" xfId="0" applyNumberFormat="1" applyFont="1" applyFill="1" applyBorder="1" applyAlignment="1" applyProtection="1">
      <alignment horizontal="center" vertical="center"/>
      <protection locked="0"/>
    </xf>
    <xf numFmtId="164" fontId="26" fillId="4" borderId="1" xfId="0" applyNumberFormat="1" applyFont="1" applyFill="1" applyBorder="1" applyAlignment="1">
      <alignment horizontal="center" vertical="center"/>
    </xf>
    <xf numFmtId="164" fontId="26" fillId="4" borderId="15" xfId="0" applyNumberFormat="1" applyFont="1" applyFill="1" applyBorder="1" applyAlignment="1">
      <alignment horizontal="centerContinuous" vertical="center"/>
    </xf>
    <xf numFmtId="1" fontId="21" fillId="5" borderId="6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21" fillId="5" borderId="6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4" fontId="0" fillId="3" borderId="0" xfId="6" applyFont="1" applyFill="1" applyBorder="1" applyAlignment="1">
      <alignment horizontal="center"/>
    </xf>
    <xf numFmtId="1" fontId="28" fillId="9" borderId="3" xfId="0" applyNumberFormat="1" applyFont="1" applyFill="1" applyBorder="1" applyAlignment="1">
      <alignment horizontal="center"/>
    </xf>
    <xf numFmtId="164" fontId="42" fillId="9" borderId="11" xfId="0" applyNumberFormat="1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/>
    </xf>
    <xf numFmtId="1" fontId="28" fillId="8" borderId="3" xfId="0" applyNumberFormat="1" applyFont="1" applyFill="1" applyBorder="1" applyAlignment="1">
      <alignment horizontal="center"/>
    </xf>
    <xf numFmtId="164" fontId="28" fillId="8" borderId="11" xfId="0" applyNumberFormat="1" applyFont="1" applyFill="1" applyBorder="1" applyAlignment="1">
      <alignment horizontal="center"/>
    </xf>
    <xf numFmtId="0" fontId="42" fillId="8" borderId="12" xfId="0" applyFont="1" applyFill="1" applyBorder="1" applyAlignment="1">
      <alignment horizontal="center"/>
    </xf>
    <xf numFmtId="0" fontId="33" fillId="11" borderId="10" xfId="0" applyFont="1" applyFill="1" applyBorder="1" applyAlignment="1">
      <alignment horizontal="center"/>
    </xf>
    <xf numFmtId="1" fontId="33" fillId="11" borderId="0" xfId="0" applyNumberFormat="1" applyFont="1" applyFill="1" applyBorder="1" applyAlignment="1">
      <alignment horizontal="center"/>
    </xf>
    <xf numFmtId="164" fontId="33" fillId="11" borderId="4" xfId="0" applyNumberFormat="1" applyFont="1" applyFill="1" applyBorder="1" applyAlignment="1">
      <alignment horizontal="center"/>
    </xf>
    <xf numFmtId="0" fontId="28" fillId="11" borderId="12" xfId="0" applyFont="1" applyFill="1" applyBorder="1" applyAlignment="1">
      <alignment horizontal="center"/>
    </xf>
    <xf numFmtId="164" fontId="28" fillId="11" borderId="11" xfId="0" applyNumberFormat="1" applyFont="1" applyFill="1" applyBorder="1" applyAlignment="1">
      <alignment horizontal="center"/>
    </xf>
    <xf numFmtId="164" fontId="33" fillId="11" borderId="11" xfId="0" applyNumberFormat="1" applyFont="1" applyFill="1" applyBorder="1" applyAlignment="1">
      <alignment horizontal="center"/>
    </xf>
    <xf numFmtId="0" fontId="28" fillId="5" borderId="10" xfId="0" applyFont="1" applyFill="1" applyBorder="1" applyAlignment="1">
      <alignment horizontal="center"/>
    </xf>
    <xf numFmtId="1" fontId="28" fillId="5" borderId="0" xfId="0" applyNumberFormat="1" applyFont="1" applyFill="1" applyBorder="1" applyAlignment="1">
      <alignment horizontal="center"/>
    </xf>
    <xf numFmtId="164" fontId="28" fillId="5" borderId="4" xfId="0" applyNumberFormat="1" applyFont="1" applyFill="1" applyBorder="1" applyAlignment="1">
      <alignment horizontal="center"/>
    </xf>
    <xf numFmtId="1" fontId="33" fillId="5" borderId="0" xfId="0" applyNumberFormat="1" applyFont="1" applyFill="1" applyBorder="1" applyAlignment="1">
      <alignment horizontal="center"/>
    </xf>
    <xf numFmtId="1" fontId="28" fillId="9" borderId="12" xfId="0" applyNumberFormat="1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1" fontId="28" fillId="5" borderId="3" xfId="0" applyNumberFormat="1" applyFont="1" applyFill="1" applyBorder="1" applyAlignment="1">
      <alignment horizontal="center"/>
    </xf>
    <xf numFmtId="164" fontId="42" fillId="5" borderId="11" xfId="0" applyNumberFormat="1" applyFont="1" applyFill="1" applyBorder="1" applyAlignment="1">
      <alignment horizontal="center"/>
    </xf>
    <xf numFmtId="1" fontId="28" fillId="5" borderId="10" xfId="0" applyNumberFormat="1" applyFont="1" applyFill="1" applyBorder="1" applyAlignment="1">
      <alignment horizontal="center"/>
    </xf>
    <xf numFmtId="1" fontId="42" fillId="7" borderId="16" xfId="0" applyNumberFormat="1" applyFont="1" applyFill="1" applyBorder="1" applyAlignment="1">
      <alignment horizontal="center"/>
    </xf>
    <xf numFmtId="164" fontId="42" fillId="7" borderId="13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 vertical="center"/>
    </xf>
    <xf numFmtId="1" fontId="14" fillId="4" borderId="6" xfId="0" applyNumberFormat="1" applyFont="1" applyFill="1" applyBorder="1" applyAlignment="1" applyProtection="1">
      <alignment horizontal="center" vertical="center"/>
    </xf>
    <xf numFmtId="164" fontId="14" fillId="4" borderId="6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center"/>
    </xf>
    <xf numFmtId="0" fontId="42" fillId="0" borderId="0" xfId="0" applyFont="1"/>
    <xf numFmtId="0" fontId="42" fillId="7" borderId="16" xfId="0" applyFont="1" applyFill="1" applyBorder="1" applyAlignment="1">
      <alignment horizontal="center"/>
    </xf>
    <xf numFmtId="174" fontId="45" fillId="10" borderId="9" xfId="0" applyNumberFormat="1" applyFont="1" applyFill="1" applyBorder="1" applyAlignment="1" applyProtection="1">
      <alignment horizontal="center" vertical="center"/>
      <protection locked="0"/>
    </xf>
    <xf numFmtId="175" fontId="45" fillId="10" borderId="9" xfId="0" applyNumberFormat="1" applyFont="1" applyFill="1" applyBorder="1" applyAlignment="1" applyProtection="1">
      <alignment horizontal="center" vertical="center"/>
      <protection locked="0"/>
    </xf>
    <xf numFmtId="176" fontId="45" fillId="10" borderId="17" xfId="0" applyNumberFormat="1" applyFont="1" applyFill="1" applyBorder="1" applyAlignment="1" applyProtection="1">
      <alignment horizontal="center" vertical="center"/>
      <protection locked="0"/>
    </xf>
    <xf numFmtId="1" fontId="28" fillId="9" borderId="18" xfId="0" applyNumberFormat="1" applyFont="1" applyFill="1" applyBorder="1" applyAlignment="1">
      <alignment horizontal="center"/>
    </xf>
    <xf numFmtId="1" fontId="28" fillId="11" borderId="12" xfId="0" applyNumberFormat="1" applyFont="1" applyFill="1" applyBorder="1" applyAlignment="1">
      <alignment horizontal="center"/>
    </xf>
    <xf numFmtId="164" fontId="42" fillId="7" borderId="18" xfId="0" applyNumberFormat="1" applyFont="1" applyFill="1" applyBorder="1" applyAlignment="1">
      <alignment horizontal="center"/>
    </xf>
    <xf numFmtId="1" fontId="40" fillId="6" borderId="16" xfId="0" applyNumberFormat="1" applyFont="1" applyFill="1" applyBorder="1" applyAlignment="1">
      <alignment horizontal="center"/>
    </xf>
    <xf numFmtId="0" fontId="33" fillId="7" borderId="10" xfId="0" applyFont="1" applyFill="1" applyBorder="1" applyAlignment="1">
      <alignment horizontal="center"/>
    </xf>
    <xf numFmtId="164" fontId="33" fillId="7" borderId="0" xfId="0" applyNumberFormat="1" applyFont="1" applyFill="1" applyBorder="1" applyAlignment="1">
      <alignment horizontal="center"/>
    </xf>
    <xf numFmtId="1" fontId="28" fillId="9" borderId="16" xfId="0" applyNumberFormat="1" applyFont="1" applyFill="1" applyBorder="1" applyAlignment="1">
      <alignment horizontal="center"/>
    </xf>
    <xf numFmtId="1" fontId="33" fillId="7" borderId="10" xfId="0" applyNumberFormat="1" applyFont="1" applyFill="1" applyBorder="1" applyAlignment="1">
      <alignment horizontal="center"/>
    </xf>
    <xf numFmtId="1" fontId="33" fillId="7" borderId="0" xfId="0" applyNumberFormat="1" applyFont="1" applyFill="1" applyBorder="1" applyAlignment="1">
      <alignment horizontal="center"/>
    </xf>
    <xf numFmtId="1" fontId="28" fillId="11" borderId="10" xfId="0" applyNumberFormat="1" applyFont="1" applyFill="1" applyBorder="1" applyAlignment="1">
      <alignment horizontal="center"/>
    </xf>
    <xf numFmtId="164" fontId="42" fillId="9" borderId="13" xfId="0" applyNumberFormat="1" applyFont="1" applyFill="1" applyBorder="1" applyAlignment="1">
      <alignment horizontal="center"/>
    </xf>
    <xf numFmtId="1" fontId="33" fillId="11" borderId="10" xfId="0" applyNumberFormat="1" applyFont="1" applyFill="1" applyBorder="1" applyAlignment="1">
      <alignment horizontal="center"/>
    </xf>
    <xf numFmtId="164" fontId="28" fillId="11" borderId="4" xfId="0" applyNumberFormat="1" applyFont="1" applyFill="1" applyBorder="1" applyAlignment="1">
      <alignment horizontal="center"/>
    </xf>
    <xf numFmtId="1" fontId="28" fillId="11" borderId="3" xfId="0" applyNumberFormat="1" applyFont="1" applyFill="1" applyBorder="1" applyAlignment="1">
      <alignment horizontal="center"/>
    </xf>
    <xf numFmtId="164" fontId="33" fillId="7" borderId="4" xfId="0" applyNumberFormat="1" applyFont="1" applyFill="1" applyBorder="1" applyAlignment="1">
      <alignment horizontal="center"/>
    </xf>
    <xf numFmtId="164" fontId="48" fillId="6" borderId="4" xfId="0" applyNumberFormat="1" applyFont="1" applyFill="1" applyBorder="1" applyAlignment="1">
      <alignment horizontal="center"/>
    </xf>
    <xf numFmtId="164" fontId="48" fillId="6" borderId="11" xfId="0" applyNumberFormat="1" applyFont="1" applyFill="1" applyBorder="1" applyAlignment="1">
      <alignment horizontal="center"/>
    </xf>
    <xf numFmtId="0" fontId="42" fillId="3" borderId="0" xfId="0" applyFont="1" applyFill="1" applyAlignment="1">
      <alignment vertical="top"/>
    </xf>
    <xf numFmtId="0" fontId="59" fillId="3" borderId="14" xfId="0" applyFont="1" applyFill="1" applyBorder="1" applyAlignment="1">
      <alignment vertical="center"/>
    </xf>
    <xf numFmtId="0" fontId="42" fillId="3" borderId="0" xfId="0" applyFont="1" applyFill="1" applyBorder="1"/>
    <xf numFmtId="0" fontId="42" fillId="3" borderId="0" xfId="0" applyFont="1" applyFill="1" applyAlignment="1">
      <alignment horizontal="center" vertical="top"/>
    </xf>
    <xf numFmtId="0" fontId="42" fillId="3" borderId="19" xfId="0" applyFont="1" applyFill="1" applyBorder="1"/>
    <xf numFmtId="0" fontId="60" fillId="3" borderId="20" xfId="0" applyFont="1" applyFill="1" applyBorder="1" applyAlignment="1" applyProtection="1">
      <alignment horizontal="center" vertical="center"/>
    </xf>
    <xf numFmtId="0" fontId="60" fillId="3" borderId="21" xfId="0" applyFont="1" applyFill="1" applyBorder="1" applyAlignment="1" applyProtection="1">
      <alignment horizontal="center" vertical="center"/>
    </xf>
    <xf numFmtId="1" fontId="60" fillId="3" borderId="22" xfId="0" applyNumberFormat="1" applyFont="1" applyFill="1" applyBorder="1" applyAlignment="1" applyProtection="1">
      <alignment horizontal="center" vertical="center" wrapText="1"/>
    </xf>
    <xf numFmtId="164" fontId="60" fillId="3" borderId="22" xfId="0" applyNumberFormat="1" applyFont="1" applyFill="1" applyBorder="1" applyAlignment="1" applyProtection="1">
      <alignment horizontal="center" vertical="center" wrapText="1"/>
    </xf>
    <xf numFmtId="164" fontId="61" fillId="3" borderId="22" xfId="0" applyNumberFormat="1" applyFont="1" applyFill="1" applyBorder="1" applyAlignment="1" applyProtection="1">
      <alignment horizontal="center" vertical="center" wrapText="1"/>
    </xf>
    <xf numFmtId="164" fontId="61" fillId="3" borderId="22" xfId="0" applyNumberFormat="1" applyFont="1" applyFill="1" applyBorder="1" applyAlignment="1" applyProtection="1">
      <alignment horizontal="center" vertical="top" wrapText="1"/>
    </xf>
    <xf numFmtId="164" fontId="60" fillId="3" borderId="20" xfId="0" applyNumberFormat="1" applyFont="1" applyFill="1" applyBorder="1" applyAlignment="1" applyProtection="1">
      <alignment horizontal="center" vertical="center" wrapText="1"/>
    </xf>
    <xf numFmtId="0" fontId="60" fillId="3" borderId="0" xfId="0" applyFont="1" applyFill="1"/>
    <xf numFmtId="0" fontId="60" fillId="3" borderId="23" xfId="0" applyNumberFormat="1" applyFont="1" applyFill="1" applyBorder="1" applyAlignment="1" applyProtection="1">
      <alignment horizontal="center" vertical="center"/>
    </xf>
    <xf numFmtId="0" fontId="62" fillId="3" borderId="24" xfId="0" applyFont="1" applyFill="1" applyBorder="1" applyAlignment="1" applyProtection="1">
      <alignment horizontal="center" vertical="center"/>
    </xf>
    <xf numFmtId="1" fontId="42" fillId="3" borderId="25" xfId="0" applyNumberFormat="1" applyFont="1" applyFill="1" applyBorder="1" applyAlignment="1" applyProtection="1">
      <alignment horizontal="center" vertical="center"/>
    </xf>
    <xf numFmtId="164" fontId="42" fillId="3" borderId="25" xfId="0" applyNumberFormat="1" applyFont="1" applyFill="1" applyBorder="1" applyAlignment="1" applyProtection="1">
      <alignment horizontal="center" vertical="center"/>
    </xf>
    <xf numFmtId="1" fontId="42" fillId="3" borderId="0" xfId="0" applyNumberFormat="1" applyFont="1" applyFill="1" applyBorder="1" applyAlignment="1" applyProtection="1">
      <alignment horizontal="center" vertical="center"/>
    </xf>
    <xf numFmtId="164" fontId="42" fillId="3" borderId="0" xfId="0" applyNumberFormat="1" applyFont="1" applyFill="1" applyBorder="1" applyAlignment="1" applyProtection="1">
      <alignment horizontal="center" vertical="center"/>
    </xf>
    <xf numFmtId="1" fontId="42" fillId="3" borderId="26" xfId="0" applyNumberFormat="1" applyFont="1" applyFill="1" applyBorder="1" applyAlignment="1" applyProtection="1">
      <alignment horizontal="center" vertical="center"/>
    </xf>
    <xf numFmtId="164" fontId="60" fillId="3" borderId="26" xfId="0" applyNumberFormat="1" applyFont="1" applyFill="1" applyBorder="1" applyAlignment="1" applyProtection="1">
      <alignment horizontal="center" vertical="center"/>
    </xf>
    <xf numFmtId="164" fontId="42" fillId="3" borderId="26" xfId="0" applyNumberFormat="1" applyFont="1" applyFill="1" applyBorder="1" applyAlignment="1" applyProtection="1">
      <alignment horizontal="center" vertical="center"/>
    </xf>
    <xf numFmtId="10" fontId="42" fillId="3" borderId="0" xfId="0" applyNumberFormat="1" applyFont="1" applyFill="1" applyBorder="1" applyAlignment="1" applyProtection="1">
      <alignment horizontal="center" vertical="center"/>
    </xf>
    <xf numFmtId="164" fontId="63" fillId="3" borderId="0" xfId="0" applyNumberFormat="1" applyFont="1" applyFill="1" applyBorder="1" applyAlignment="1" applyProtection="1">
      <alignment horizontal="center" vertical="center"/>
    </xf>
    <xf numFmtId="2" fontId="42" fillId="3" borderId="27" xfId="0" applyNumberFormat="1" applyFont="1" applyFill="1" applyBorder="1" applyAlignment="1" applyProtection="1">
      <alignment horizontal="center" vertical="center"/>
    </xf>
    <xf numFmtId="164" fontId="60" fillId="3" borderId="22" xfId="0" applyNumberFormat="1" applyFont="1" applyFill="1" applyBorder="1" applyAlignment="1" applyProtection="1">
      <alignment horizontal="center" vertical="center"/>
    </xf>
    <xf numFmtId="1" fontId="42" fillId="3" borderId="28" xfId="0" applyNumberFormat="1" applyFont="1" applyFill="1" applyBorder="1" applyAlignment="1" applyProtection="1">
      <alignment horizontal="center" vertical="center"/>
    </xf>
    <xf numFmtId="164" fontId="60" fillId="3" borderId="28" xfId="0" applyNumberFormat="1" applyFont="1" applyFill="1" applyBorder="1" applyAlignment="1" applyProtection="1">
      <alignment horizontal="center" vertical="center"/>
    </xf>
    <xf numFmtId="164" fontId="42" fillId="3" borderId="28" xfId="0" applyNumberFormat="1" applyFont="1" applyFill="1" applyBorder="1" applyAlignment="1" applyProtection="1">
      <alignment horizontal="center" vertical="center"/>
    </xf>
    <xf numFmtId="0" fontId="63" fillId="3" borderId="0" xfId="0" applyFont="1" applyFill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center" vertical="center"/>
    </xf>
    <xf numFmtId="2" fontId="42" fillId="3" borderId="0" xfId="0" applyNumberFormat="1" applyFont="1" applyFill="1"/>
    <xf numFmtId="168" fontId="60" fillId="3" borderId="9" xfId="0" applyNumberFormat="1" applyFont="1" applyFill="1" applyBorder="1" applyAlignment="1">
      <alignment horizontal="center" vertical="center"/>
    </xf>
    <xf numFmtId="2" fontId="60" fillId="3" borderId="29" xfId="0" applyNumberFormat="1" applyFont="1" applyFill="1" applyBorder="1" applyAlignment="1">
      <alignment horizontal="center" vertical="center"/>
    </xf>
    <xf numFmtId="1" fontId="60" fillId="3" borderId="30" xfId="0" applyNumberFormat="1" applyFont="1" applyFill="1" applyBorder="1" applyAlignment="1">
      <alignment horizontal="center" vertical="center"/>
    </xf>
    <xf numFmtId="1" fontId="60" fillId="3" borderId="0" xfId="0" applyNumberFormat="1" applyFont="1" applyFill="1" applyBorder="1" applyAlignment="1">
      <alignment horizontal="center" vertical="center"/>
    </xf>
    <xf numFmtId="1" fontId="60" fillId="3" borderId="29" xfId="0" applyNumberFormat="1" applyFont="1" applyFill="1" applyBorder="1" applyAlignment="1">
      <alignment horizontal="center" vertical="center"/>
    </xf>
    <xf numFmtId="49" fontId="60" fillId="3" borderId="26" xfId="0" applyNumberFormat="1" applyFont="1" applyFill="1" applyBorder="1" applyAlignment="1">
      <alignment horizontal="center" vertical="center"/>
    </xf>
    <xf numFmtId="2" fontId="60" fillId="3" borderId="26" xfId="0" applyNumberFormat="1" applyFont="1" applyFill="1" applyBorder="1" applyAlignment="1">
      <alignment horizontal="center" vertical="center"/>
    </xf>
    <xf numFmtId="2" fontId="60" fillId="3" borderId="30" xfId="0" applyNumberFormat="1" applyFont="1" applyFill="1" applyBorder="1" applyAlignment="1">
      <alignment horizontal="center" vertical="center"/>
    </xf>
    <xf numFmtId="2" fontId="42" fillId="3" borderId="0" xfId="0" applyNumberFormat="1" applyFont="1" applyFill="1" applyBorder="1"/>
    <xf numFmtId="164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8" fillId="3" borderId="0" xfId="0" applyFont="1" applyFill="1" applyAlignment="1"/>
    <xf numFmtId="0" fontId="18" fillId="3" borderId="0" xfId="0" applyFont="1" applyFill="1" applyAlignment="1">
      <alignment horizontal="left"/>
    </xf>
    <xf numFmtId="49" fontId="18" fillId="3" borderId="0" xfId="0" applyNumberFormat="1" applyFont="1" applyFill="1" applyAlignment="1">
      <alignment horizontal="center"/>
    </xf>
    <xf numFmtId="164" fontId="18" fillId="3" borderId="0" xfId="0" applyNumberFormat="1" applyFont="1" applyFill="1" applyAlignment="1">
      <alignment horizontal="center"/>
    </xf>
    <xf numFmtId="0" fontId="19" fillId="3" borderId="0" xfId="0" applyFont="1" applyFill="1" applyAlignment="1"/>
    <xf numFmtId="0" fontId="2" fillId="3" borderId="0" xfId="0" applyFont="1" applyFill="1" applyAlignment="1"/>
    <xf numFmtId="0" fontId="17" fillId="3" borderId="0" xfId="0" applyFont="1" applyFill="1" applyAlignment="1"/>
    <xf numFmtId="164" fontId="17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/>
    <xf numFmtId="0" fontId="2" fillId="3" borderId="0" xfId="0" applyFont="1" applyFill="1"/>
    <xf numFmtId="0" fontId="18" fillId="3" borderId="0" xfId="0" applyFont="1" applyFill="1" applyAlignment="1">
      <alignment horizontal="center"/>
    </xf>
    <xf numFmtId="0" fontId="18" fillId="3" borderId="0" xfId="0" applyFont="1" applyFill="1"/>
    <xf numFmtId="1" fontId="18" fillId="3" borderId="0" xfId="0" applyNumberFormat="1" applyFont="1" applyFill="1" applyAlignment="1">
      <alignment horizontal="center"/>
    </xf>
    <xf numFmtId="164" fontId="19" fillId="3" borderId="0" xfId="0" applyNumberFormat="1" applyFont="1" applyFill="1" applyAlignment="1">
      <alignment horizontal="center"/>
    </xf>
    <xf numFmtId="0" fontId="17" fillId="3" borderId="0" xfId="0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10" fillId="7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49" fontId="2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64" fontId="17" fillId="5" borderId="0" xfId="0" applyNumberFormat="1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17" fillId="0" borderId="0" xfId="0" quotePrefix="1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44" fontId="27" fillId="5" borderId="9" xfId="6" applyFont="1" applyFill="1" applyBorder="1" applyAlignment="1" applyProtection="1">
      <alignment horizontal="center" vertical="center"/>
      <protection locked="0"/>
    </xf>
    <xf numFmtId="164" fontId="3" fillId="7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Continuous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2" fillId="3" borderId="16" xfId="0" applyFont="1" applyFill="1" applyBorder="1"/>
    <xf numFmtId="0" fontId="12" fillId="3" borderId="18" xfId="0" applyFont="1" applyFill="1" applyBorder="1"/>
    <xf numFmtId="0" fontId="12" fillId="3" borderId="18" xfId="0" applyFont="1" applyFill="1" applyBorder="1" applyAlignment="1">
      <alignment horizontal="center"/>
    </xf>
    <xf numFmtId="0" fontId="12" fillId="3" borderId="31" xfId="0" applyFont="1" applyFill="1" applyBorder="1"/>
    <xf numFmtId="0" fontId="12" fillId="3" borderId="13" xfId="0" applyFont="1" applyFill="1" applyBorder="1"/>
    <xf numFmtId="0" fontId="14" fillId="3" borderId="1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3" fillId="3" borderId="32" xfId="0" applyFont="1" applyFill="1" applyBorder="1" applyAlignment="1">
      <alignment horizontal="centerContinuous"/>
    </xf>
    <xf numFmtId="0" fontId="13" fillId="3" borderId="4" xfId="0" applyFont="1" applyFill="1" applyBorder="1" applyAlignment="1">
      <alignment horizontal="centerContinuous"/>
    </xf>
    <xf numFmtId="0" fontId="14" fillId="3" borderId="0" xfId="0" applyFont="1" applyFill="1"/>
    <xf numFmtId="0" fontId="10" fillId="3" borderId="0" xfId="0" applyFont="1" applyFill="1" applyBorder="1" applyAlignment="1">
      <alignment horizontal="center"/>
    </xf>
    <xf numFmtId="0" fontId="13" fillId="3" borderId="32" xfId="0" applyFont="1" applyFill="1" applyBorder="1"/>
    <xf numFmtId="0" fontId="13" fillId="3" borderId="4" xfId="0" applyFont="1" applyFill="1" applyBorder="1"/>
    <xf numFmtId="0" fontId="12" fillId="3" borderId="12" xfId="0" applyFont="1" applyFill="1" applyBorder="1"/>
    <xf numFmtId="0" fontId="12" fillId="3" borderId="3" xfId="0" applyFont="1" applyFill="1" applyBorder="1"/>
    <xf numFmtId="0" fontId="12" fillId="3" borderId="3" xfId="0" applyFont="1" applyFill="1" applyBorder="1" applyAlignment="1">
      <alignment horizontal="center"/>
    </xf>
    <xf numFmtId="0" fontId="12" fillId="3" borderId="33" xfId="0" applyFont="1" applyFill="1" applyBorder="1"/>
    <xf numFmtId="0" fontId="12" fillId="3" borderId="11" xfId="0" applyFont="1" applyFill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32" xfId="0" applyFont="1" applyFill="1" applyBorder="1"/>
    <xf numFmtId="0" fontId="14" fillId="3" borderId="4" xfId="0" applyFont="1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horizontal="center"/>
    </xf>
    <xf numFmtId="0" fontId="6" fillId="3" borderId="32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0" xfId="0" applyFont="1" applyFill="1"/>
    <xf numFmtId="0" fontId="0" fillId="3" borderId="0" xfId="0" applyFill="1" applyAlignment="1">
      <alignment horizontal="center"/>
    </xf>
    <xf numFmtId="0" fontId="6" fillId="3" borderId="12" xfId="0" applyFont="1" applyFill="1" applyBorder="1"/>
    <xf numFmtId="0" fontId="6" fillId="3" borderId="3" xfId="0" applyFont="1" applyFill="1" applyBorder="1"/>
    <xf numFmtId="49" fontId="6" fillId="3" borderId="3" xfId="0" applyNumberFormat="1" applyFont="1" applyFill="1" applyBorder="1" applyAlignment="1">
      <alignment horizontal="center"/>
    </xf>
    <xf numFmtId="0" fontId="6" fillId="3" borderId="33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11" xfId="0" applyFont="1" applyFill="1" applyBorder="1"/>
    <xf numFmtId="0" fontId="6" fillId="3" borderId="0" xfId="0" applyFont="1" applyFill="1" applyAlignment="1">
      <alignment horizontal="center"/>
    </xf>
    <xf numFmtId="0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7" fillId="0" borderId="0" xfId="0" applyNumberFormat="1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2" fillId="3" borderId="0" xfId="0" applyFont="1" applyFill="1" applyProtection="1"/>
    <xf numFmtId="0" fontId="46" fillId="3" borderId="0" xfId="0" applyFont="1" applyFill="1" applyBorder="1" applyAlignment="1" applyProtection="1">
      <alignment horizontal="center" vertical="center"/>
    </xf>
    <xf numFmtId="0" fontId="40" fillId="6" borderId="9" xfId="0" applyFont="1" applyFill="1" applyBorder="1" applyAlignment="1" applyProtection="1">
      <alignment vertical="center" wrapText="1"/>
    </xf>
    <xf numFmtId="173" fontId="45" fillId="12" borderId="9" xfId="0" applyNumberFormat="1" applyFont="1" applyFill="1" applyBorder="1" applyAlignment="1" applyProtection="1">
      <alignment horizontal="center" vertical="center"/>
    </xf>
    <xf numFmtId="0" fontId="42" fillId="3" borderId="0" xfId="0" applyFont="1" applyFill="1" applyAlignment="1" applyProtection="1">
      <alignment vertical="center"/>
    </xf>
    <xf numFmtId="44" fontId="42" fillId="3" borderId="0" xfId="6" applyFont="1" applyFill="1" applyProtection="1"/>
    <xf numFmtId="0" fontId="42" fillId="3" borderId="0" xfId="0" applyFont="1" applyFill="1" applyAlignment="1" applyProtection="1">
      <alignment horizontal="center" vertical="center" wrapText="1"/>
    </xf>
    <xf numFmtId="0" fontId="42" fillId="3" borderId="0" xfId="0" applyFont="1" applyFill="1" applyAlignment="1" applyProtection="1">
      <alignment horizontal="center" wrapText="1"/>
    </xf>
    <xf numFmtId="1" fontId="42" fillId="3" borderId="0" xfId="0" applyNumberFormat="1" applyFont="1" applyFill="1" applyAlignment="1" applyProtection="1">
      <alignment horizontal="center" wrapText="1"/>
    </xf>
    <xf numFmtId="1" fontId="42" fillId="3" borderId="0" xfId="0" applyNumberFormat="1" applyFont="1" applyFill="1" applyProtection="1"/>
    <xf numFmtId="0" fontId="40" fillId="6" borderId="6" xfId="0" applyFont="1" applyFill="1" applyBorder="1" applyAlignment="1" applyProtection="1">
      <alignment horizontal="center" vertical="center" wrapText="1"/>
    </xf>
    <xf numFmtId="1" fontId="40" fillId="6" borderId="6" xfId="0" applyNumberFormat="1" applyFont="1" applyFill="1" applyBorder="1" applyAlignment="1" applyProtection="1">
      <alignment horizontal="center" vertical="center" wrapText="1"/>
    </xf>
    <xf numFmtId="0" fontId="42" fillId="3" borderId="0" xfId="0" applyFont="1" applyFill="1" applyAlignment="1" applyProtection="1">
      <alignment vertical="center" wrapText="1"/>
    </xf>
    <xf numFmtId="0" fontId="33" fillId="3" borderId="34" xfId="0" applyFont="1" applyFill="1" applyBorder="1" applyAlignment="1" applyProtection="1">
      <alignment vertical="center" wrapText="1"/>
    </xf>
    <xf numFmtId="1" fontId="33" fillId="9" borderId="18" xfId="0" applyNumberFormat="1" applyFont="1" applyFill="1" applyBorder="1" applyAlignment="1" applyProtection="1">
      <alignment horizontal="center"/>
    </xf>
    <xf numFmtId="164" fontId="33" fillId="9" borderId="18" xfId="0" applyNumberFormat="1" applyFont="1" applyFill="1" applyBorder="1" applyAlignment="1" applyProtection="1">
      <alignment horizontal="center"/>
    </xf>
    <xf numFmtId="1" fontId="33" fillId="9" borderId="16" xfId="0" applyNumberFormat="1" applyFont="1" applyFill="1" applyBorder="1" applyAlignment="1" applyProtection="1">
      <alignment horizontal="center"/>
    </xf>
    <xf numFmtId="164" fontId="33" fillId="9" borderId="13" xfId="0" applyNumberFormat="1" applyFont="1" applyFill="1" applyBorder="1" applyAlignment="1" applyProtection="1">
      <alignment horizontal="center"/>
    </xf>
    <xf numFmtId="0" fontId="33" fillId="3" borderId="0" xfId="0" applyFont="1" applyFill="1" applyProtection="1"/>
    <xf numFmtId="1" fontId="28" fillId="9" borderId="0" xfId="0" applyNumberFormat="1" applyFont="1" applyFill="1" applyBorder="1" applyAlignment="1" applyProtection="1">
      <alignment horizontal="center"/>
    </xf>
    <xf numFmtId="164" fontId="28" fillId="9" borderId="0" xfId="0" applyNumberFormat="1" applyFont="1" applyFill="1" applyBorder="1" applyAlignment="1" applyProtection="1">
      <alignment horizontal="center"/>
    </xf>
    <xf numFmtId="1" fontId="28" fillId="9" borderId="10" xfId="0" applyNumberFormat="1" applyFont="1" applyFill="1" applyBorder="1" applyAlignment="1" applyProtection="1">
      <alignment horizontal="center"/>
    </xf>
    <xf numFmtId="164" fontId="28" fillId="9" borderId="4" xfId="0" applyNumberFormat="1" applyFont="1" applyFill="1" applyBorder="1" applyAlignment="1" applyProtection="1">
      <alignment horizontal="center"/>
    </xf>
    <xf numFmtId="1" fontId="27" fillId="9" borderId="0" xfId="0" applyNumberFormat="1" applyFont="1" applyFill="1" applyBorder="1" applyAlignment="1" applyProtection="1">
      <alignment horizontal="center"/>
    </xf>
    <xf numFmtId="164" fontId="27" fillId="9" borderId="0" xfId="0" applyNumberFormat="1" applyFont="1" applyFill="1" applyBorder="1" applyAlignment="1" applyProtection="1">
      <alignment horizontal="center"/>
    </xf>
    <xf numFmtId="1" fontId="27" fillId="9" borderId="10" xfId="0" applyNumberFormat="1" applyFont="1" applyFill="1" applyBorder="1" applyAlignment="1" applyProtection="1">
      <alignment horizontal="center"/>
    </xf>
    <xf numFmtId="164" fontId="27" fillId="9" borderId="4" xfId="0" applyNumberFormat="1" applyFont="1" applyFill="1" applyBorder="1" applyAlignment="1" applyProtection="1">
      <alignment horizontal="center"/>
    </xf>
    <xf numFmtId="1" fontId="33" fillId="9" borderId="3" xfId="0" applyNumberFormat="1" applyFont="1" applyFill="1" applyBorder="1" applyAlignment="1" applyProtection="1">
      <alignment horizontal="center"/>
    </xf>
    <xf numFmtId="164" fontId="33" fillId="9" borderId="3" xfId="0" applyNumberFormat="1" applyFont="1" applyFill="1" applyBorder="1" applyAlignment="1" applyProtection="1">
      <alignment horizontal="center"/>
    </xf>
    <xf numFmtId="1" fontId="33" fillId="9" borderId="12" xfId="0" applyNumberFormat="1" applyFont="1" applyFill="1" applyBorder="1" applyAlignment="1" applyProtection="1">
      <alignment horizontal="center"/>
    </xf>
    <xf numFmtId="164" fontId="33" fillId="9" borderId="11" xfId="0" applyNumberFormat="1" applyFont="1" applyFill="1" applyBorder="1" applyAlignment="1" applyProtection="1">
      <alignment horizontal="center"/>
    </xf>
    <xf numFmtId="1" fontId="33" fillId="12" borderId="18" xfId="0" applyNumberFormat="1" applyFont="1" applyFill="1" applyBorder="1" applyAlignment="1" applyProtection="1">
      <alignment horizontal="center" vertical="center"/>
    </xf>
    <xf numFmtId="164" fontId="33" fillId="12" borderId="13" xfId="0" applyNumberFormat="1" applyFont="1" applyFill="1" applyBorder="1" applyAlignment="1" applyProtection="1">
      <alignment horizontal="center" vertical="center"/>
    </xf>
    <xf numFmtId="1" fontId="33" fillId="12" borderId="16" xfId="0" applyNumberFormat="1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vertical="center"/>
    </xf>
    <xf numFmtId="1" fontId="33" fillId="8" borderId="18" xfId="0" applyNumberFormat="1" applyFont="1" applyFill="1" applyBorder="1" applyAlignment="1" applyProtection="1">
      <alignment horizontal="center"/>
    </xf>
    <xf numFmtId="164" fontId="33" fillId="8" borderId="13" xfId="0" applyNumberFormat="1" applyFont="1" applyFill="1" applyBorder="1" applyAlignment="1" applyProtection="1">
      <alignment horizontal="center"/>
    </xf>
    <xf numFmtId="1" fontId="33" fillId="8" borderId="16" xfId="0" applyNumberFormat="1" applyFont="1" applyFill="1" applyBorder="1" applyAlignment="1" applyProtection="1">
      <alignment horizontal="center"/>
    </xf>
    <xf numFmtId="1" fontId="27" fillId="8" borderId="0" xfId="0" applyNumberFormat="1" applyFont="1" applyFill="1" applyBorder="1" applyAlignment="1" applyProtection="1">
      <alignment horizontal="center"/>
    </xf>
    <xf numFmtId="164" fontId="27" fillId="8" borderId="4" xfId="0" applyNumberFormat="1" applyFont="1" applyFill="1" applyBorder="1" applyAlignment="1" applyProtection="1">
      <alignment horizontal="center"/>
    </xf>
    <xf numFmtId="1" fontId="28" fillId="8" borderId="3" xfId="0" applyNumberFormat="1" applyFont="1" applyFill="1" applyBorder="1" applyAlignment="1" applyProtection="1">
      <alignment horizontal="center"/>
    </xf>
    <xf numFmtId="164" fontId="28" fillId="8" borderId="11" xfId="0" applyNumberFormat="1" applyFont="1" applyFill="1" applyBorder="1" applyAlignment="1" applyProtection="1">
      <alignment horizontal="center"/>
    </xf>
    <xf numFmtId="1" fontId="28" fillId="8" borderId="12" xfId="0" applyNumberFormat="1" applyFont="1" applyFill="1" applyBorder="1" applyAlignment="1" applyProtection="1">
      <alignment horizontal="center"/>
    </xf>
    <xf numFmtId="1" fontId="28" fillId="8" borderId="10" xfId="0" applyNumberFormat="1" applyFont="1" applyFill="1" applyBorder="1" applyAlignment="1" applyProtection="1">
      <alignment horizontal="center"/>
    </xf>
    <xf numFmtId="164" fontId="28" fillId="8" borderId="4" xfId="0" applyNumberFormat="1" applyFont="1" applyFill="1" applyBorder="1" applyAlignment="1" applyProtection="1">
      <alignment horizontal="center"/>
    </xf>
    <xf numFmtId="1" fontId="28" fillId="2" borderId="18" xfId="0" applyNumberFormat="1" applyFont="1" applyFill="1" applyBorder="1" applyAlignment="1" applyProtection="1">
      <alignment horizontal="center"/>
    </xf>
    <xf numFmtId="164" fontId="28" fillId="2" borderId="13" xfId="0" applyNumberFormat="1" applyFont="1" applyFill="1" applyBorder="1" applyAlignment="1" applyProtection="1">
      <alignment horizontal="center"/>
    </xf>
    <xf numFmtId="1" fontId="28" fillId="2" borderId="16" xfId="0" applyNumberFormat="1" applyFont="1" applyFill="1" applyBorder="1" applyAlignment="1" applyProtection="1">
      <alignment horizontal="center"/>
    </xf>
    <xf numFmtId="1" fontId="28" fillId="2" borderId="0" xfId="0" applyNumberFormat="1" applyFont="1" applyFill="1" applyBorder="1" applyAlignment="1" applyProtection="1">
      <alignment horizontal="center"/>
    </xf>
    <xf numFmtId="164" fontId="28" fillId="2" borderId="4" xfId="0" applyNumberFormat="1" applyFont="1" applyFill="1" applyBorder="1" applyAlignment="1" applyProtection="1">
      <alignment horizontal="center"/>
    </xf>
    <xf numFmtId="1" fontId="28" fillId="2" borderId="10" xfId="0" applyNumberFormat="1" applyFont="1" applyFill="1" applyBorder="1" applyAlignment="1" applyProtection="1">
      <alignment horizontal="center"/>
    </xf>
    <xf numFmtId="1" fontId="33" fillId="2" borderId="0" xfId="0" applyNumberFormat="1" applyFont="1" applyFill="1" applyBorder="1" applyAlignment="1" applyProtection="1">
      <alignment horizontal="center"/>
    </xf>
    <xf numFmtId="164" fontId="33" fillId="2" borderId="4" xfId="0" applyNumberFormat="1" applyFont="1" applyFill="1" applyBorder="1" applyAlignment="1" applyProtection="1">
      <alignment horizontal="center"/>
    </xf>
    <xf numFmtId="1" fontId="33" fillId="2" borderId="12" xfId="0" applyNumberFormat="1" applyFont="1" applyFill="1" applyBorder="1" applyAlignment="1" applyProtection="1">
      <alignment horizontal="center"/>
    </xf>
    <xf numFmtId="164" fontId="33" fillId="2" borderId="11" xfId="0" applyNumberFormat="1" applyFont="1" applyFill="1" applyBorder="1" applyAlignment="1" applyProtection="1">
      <alignment horizontal="center"/>
    </xf>
    <xf numFmtId="0" fontId="33" fillId="3" borderId="16" xfId="0" applyFont="1" applyFill="1" applyBorder="1" applyProtection="1"/>
    <xf numFmtId="1" fontId="33" fillId="4" borderId="18" xfId="0" applyNumberFormat="1" applyFont="1" applyFill="1" applyBorder="1" applyAlignment="1" applyProtection="1">
      <alignment horizontal="center"/>
    </xf>
    <xf numFmtId="164" fontId="33" fillId="4" borderId="13" xfId="0" applyNumberFormat="1" applyFont="1" applyFill="1" applyBorder="1" applyAlignment="1" applyProtection="1">
      <alignment horizontal="center"/>
    </xf>
    <xf numFmtId="1" fontId="33" fillId="4" borderId="16" xfId="0" applyNumberFormat="1" applyFont="1" applyFill="1" applyBorder="1" applyAlignment="1" applyProtection="1">
      <alignment horizontal="center"/>
    </xf>
    <xf numFmtId="1" fontId="28" fillId="4" borderId="10" xfId="0" applyNumberFormat="1" applyFont="1" applyFill="1" applyBorder="1" applyAlignment="1" applyProtection="1">
      <alignment horizontal="center"/>
    </xf>
    <xf numFmtId="1" fontId="28" fillId="4" borderId="0" xfId="0" applyNumberFormat="1" applyFont="1" applyFill="1" applyBorder="1" applyAlignment="1" applyProtection="1">
      <alignment horizontal="center"/>
    </xf>
    <xf numFmtId="164" fontId="28" fillId="4" borderId="4" xfId="0" applyNumberFormat="1" applyFont="1" applyFill="1" applyBorder="1" applyAlignment="1" applyProtection="1">
      <alignment horizontal="center"/>
    </xf>
    <xf numFmtId="1" fontId="28" fillId="7" borderId="18" xfId="0" applyNumberFormat="1" applyFont="1" applyFill="1" applyBorder="1" applyAlignment="1" applyProtection="1">
      <alignment horizontal="center"/>
    </xf>
    <xf numFmtId="164" fontId="28" fillId="7" borderId="13" xfId="0" applyNumberFormat="1" applyFont="1" applyFill="1" applyBorder="1" applyAlignment="1" applyProtection="1">
      <alignment horizontal="center"/>
    </xf>
    <xf numFmtId="1" fontId="33" fillId="7" borderId="3" xfId="0" applyNumberFormat="1" applyFont="1" applyFill="1" applyBorder="1" applyAlignment="1" applyProtection="1">
      <alignment horizontal="center"/>
    </xf>
    <xf numFmtId="164" fontId="33" fillId="7" borderId="11" xfId="0" applyNumberFormat="1" applyFont="1" applyFill="1" applyBorder="1" applyAlignment="1" applyProtection="1">
      <alignment horizontal="center"/>
    </xf>
    <xf numFmtId="1" fontId="33" fillId="7" borderId="12" xfId="0" applyNumberFormat="1" applyFont="1" applyFill="1" applyBorder="1" applyAlignment="1" applyProtection="1">
      <alignment horizontal="center"/>
    </xf>
    <xf numFmtId="0" fontId="33" fillId="3" borderId="6" xfId="0" applyFont="1" applyFill="1" applyBorder="1" applyProtection="1"/>
    <xf numFmtId="1" fontId="40" fillId="6" borderId="7" xfId="0" applyNumberFormat="1" applyFont="1" applyFill="1" applyBorder="1" applyAlignment="1" applyProtection="1">
      <alignment horizontal="center"/>
    </xf>
    <xf numFmtId="164" fontId="40" fillId="6" borderId="15" xfId="0" applyNumberFormat="1" applyFont="1" applyFill="1" applyBorder="1" applyAlignment="1" applyProtection="1">
      <alignment horizontal="center"/>
    </xf>
    <xf numFmtId="1" fontId="40" fillId="6" borderId="35" xfId="0" applyNumberFormat="1" applyFont="1" applyFill="1" applyBorder="1" applyAlignment="1" applyProtection="1">
      <alignment horizontal="center"/>
    </xf>
    <xf numFmtId="0" fontId="33" fillId="3" borderId="0" xfId="0" applyFont="1" applyFill="1" applyBorder="1" applyProtection="1"/>
    <xf numFmtId="164" fontId="42" fillId="3" borderId="0" xfId="0" applyNumberFormat="1" applyFont="1" applyFill="1" applyProtection="1"/>
    <xf numFmtId="0" fontId="29" fillId="3" borderId="19" xfId="0" applyFont="1" applyFill="1" applyBorder="1" applyAlignment="1" applyProtection="1">
      <alignment horizontal="center" vertical="center"/>
    </xf>
    <xf numFmtId="1" fontId="29" fillId="3" borderId="19" xfId="0" applyNumberFormat="1" applyFont="1" applyFill="1" applyBorder="1" applyAlignment="1" applyProtection="1">
      <alignment horizontal="center" vertical="center"/>
    </xf>
    <xf numFmtId="164" fontId="29" fillId="3" borderId="19" xfId="0" applyNumberFormat="1" applyFont="1" applyFill="1" applyBorder="1" applyAlignment="1" applyProtection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28" fillId="7" borderId="16" xfId="0" applyFont="1" applyFill="1" applyBorder="1" applyAlignment="1">
      <alignment horizontal="center"/>
    </xf>
    <xf numFmtId="1" fontId="28" fillId="7" borderId="18" xfId="0" applyNumberFormat="1" applyFont="1" applyFill="1" applyBorder="1" applyAlignment="1">
      <alignment horizontal="center"/>
    </xf>
    <xf numFmtId="164" fontId="28" fillId="7" borderId="13" xfId="0" applyNumberFormat="1" applyFont="1" applyFill="1" applyBorder="1" applyAlignment="1">
      <alignment horizontal="center"/>
    </xf>
    <xf numFmtId="1" fontId="28" fillId="7" borderId="16" xfId="0" applyNumberFormat="1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1" fontId="28" fillId="7" borderId="0" xfId="0" applyNumberFormat="1" applyFont="1" applyFill="1" applyBorder="1" applyAlignment="1">
      <alignment horizontal="center"/>
    </xf>
    <xf numFmtId="164" fontId="28" fillId="7" borderId="4" xfId="0" applyNumberFormat="1" applyFont="1" applyFill="1" applyBorder="1" applyAlignment="1">
      <alignment horizontal="center"/>
    </xf>
    <xf numFmtId="1" fontId="28" fillId="7" borderId="10" xfId="0" applyNumberFormat="1" applyFont="1" applyFill="1" applyBorder="1" applyAlignment="1">
      <alignment horizontal="center"/>
    </xf>
    <xf numFmtId="0" fontId="28" fillId="7" borderId="12" xfId="0" applyFont="1" applyFill="1" applyBorder="1" applyAlignment="1">
      <alignment horizontal="center"/>
    </xf>
    <xf numFmtId="1" fontId="28" fillId="7" borderId="3" xfId="0" applyNumberFormat="1" applyFont="1" applyFill="1" applyBorder="1" applyAlignment="1">
      <alignment horizontal="center"/>
    </xf>
    <xf numFmtId="164" fontId="28" fillId="7" borderId="11" xfId="0" applyNumberFormat="1" applyFont="1" applyFill="1" applyBorder="1" applyAlignment="1">
      <alignment horizontal="center"/>
    </xf>
    <xf numFmtId="1" fontId="28" fillId="7" borderId="12" xfId="0" applyNumberFormat="1" applyFont="1" applyFill="1" applyBorder="1" applyAlignment="1">
      <alignment horizontal="center"/>
    </xf>
    <xf numFmtId="0" fontId="33" fillId="5" borderId="16" xfId="0" applyFont="1" applyFill="1" applyBorder="1" applyAlignment="1">
      <alignment horizontal="center"/>
    </xf>
    <xf numFmtId="164" fontId="33" fillId="5" borderId="13" xfId="0" applyNumberFormat="1" applyFont="1" applyFill="1" applyBorder="1" applyAlignment="1">
      <alignment horizontal="center"/>
    </xf>
    <xf numFmtId="0" fontId="42" fillId="5" borderId="12" xfId="0" applyFont="1" applyFill="1" applyBorder="1" applyAlignment="1">
      <alignment horizontal="center"/>
    </xf>
    <xf numFmtId="164" fontId="28" fillId="5" borderId="1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vertical="center"/>
    </xf>
    <xf numFmtId="0" fontId="10" fillId="5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4" fontId="60" fillId="3" borderId="0" xfId="0" applyNumberFormat="1" applyFont="1" applyFill="1" applyBorder="1" applyAlignment="1" applyProtection="1">
      <alignment vertical="center"/>
    </xf>
    <xf numFmtId="166" fontId="42" fillId="3" borderId="24" xfId="0" applyNumberFormat="1" applyFont="1" applyFill="1" applyBorder="1" applyAlignment="1" applyProtection="1">
      <alignment horizontal="center" vertical="center"/>
    </xf>
    <xf numFmtId="0" fontId="42" fillId="3" borderId="27" xfId="0" applyFont="1" applyFill="1" applyBorder="1" applyAlignment="1" applyProtection="1">
      <alignment horizontal="center" vertical="center"/>
    </xf>
    <xf numFmtId="164" fontId="28" fillId="3" borderId="22" xfId="0" applyNumberFormat="1" applyFont="1" applyFill="1" applyBorder="1" applyAlignment="1" applyProtection="1">
      <alignment horizontal="center" vertical="center"/>
    </xf>
    <xf numFmtId="1" fontId="28" fillId="3" borderId="22" xfId="0" applyNumberFormat="1" applyFont="1" applyFill="1" applyBorder="1" applyAlignment="1" applyProtection="1">
      <alignment horizontal="center" vertical="center"/>
    </xf>
    <xf numFmtId="166" fontId="42" fillId="3" borderId="27" xfId="0" applyNumberFormat="1" applyFont="1" applyFill="1" applyBorder="1" applyAlignment="1" applyProtection="1">
      <alignment horizontal="center" vertical="center"/>
    </xf>
    <xf numFmtId="0" fontId="42" fillId="3" borderId="36" xfId="0" applyFont="1" applyFill="1" applyBorder="1" applyAlignment="1" applyProtection="1">
      <alignment horizontal="center" vertical="center"/>
    </xf>
    <xf numFmtId="169" fontId="42" fillId="7" borderId="37" xfId="0" applyNumberFormat="1" applyFont="1" applyFill="1" applyBorder="1" applyAlignment="1" applyProtection="1">
      <alignment horizontal="center" vertical="center"/>
      <protection locked="0"/>
    </xf>
    <xf numFmtId="169" fontId="42" fillId="7" borderId="38" xfId="0" applyNumberFormat="1" applyFont="1" applyFill="1" applyBorder="1" applyAlignment="1" applyProtection="1">
      <alignment horizontal="center" vertical="center"/>
      <protection locked="0"/>
    </xf>
    <xf numFmtId="169" fontId="42" fillId="7" borderId="39" xfId="0" applyNumberFormat="1" applyFont="1" applyFill="1" applyBorder="1" applyAlignment="1" applyProtection="1">
      <alignment horizontal="center" vertical="center"/>
      <protection locked="0"/>
    </xf>
    <xf numFmtId="0" fontId="42" fillId="3" borderId="40" xfId="0" applyFont="1" applyFill="1" applyBorder="1"/>
    <xf numFmtId="0" fontId="42" fillId="3" borderId="14" xfId="0" applyFont="1" applyFill="1" applyBorder="1" applyAlignment="1" applyProtection="1">
      <alignment horizontal="center" vertical="center"/>
    </xf>
    <xf numFmtId="0" fontId="42" fillId="3" borderId="17" xfId="0" applyFont="1" applyFill="1" applyBorder="1" applyAlignment="1" applyProtection="1">
      <alignment horizontal="center" vertical="center"/>
    </xf>
    <xf numFmtId="0" fontId="60" fillId="3" borderId="41" xfId="0" applyFont="1" applyFill="1" applyBorder="1" applyAlignment="1" applyProtection="1">
      <alignment horizontal="center" vertical="center"/>
    </xf>
    <xf numFmtId="0" fontId="42" fillId="3" borderId="17" xfId="0" applyFont="1" applyFill="1" applyBorder="1" applyProtection="1"/>
    <xf numFmtId="1" fontId="28" fillId="3" borderId="26" xfId="0" applyNumberFormat="1" applyFont="1" applyFill="1" applyBorder="1" applyAlignment="1" applyProtection="1">
      <alignment horizontal="center" vertical="center"/>
    </xf>
    <xf numFmtId="0" fontId="60" fillId="3" borderId="14" xfId="0" applyFont="1" applyFill="1" applyBorder="1" applyAlignment="1" applyProtection="1">
      <alignment horizontal="center" vertical="center"/>
    </xf>
    <xf numFmtId="0" fontId="60" fillId="3" borderId="17" xfId="0" applyFont="1" applyFill="1" applyBorder="1" applyAlignment="1" applyProtection="1">
      <alignment horizontal="center" vertical="center"/>
    </xf>
    <xf numFmtId="9" fontId="0" fillId="7" borderId="39" xfId="0" applyNumberFormat="1" applyFill="1" applyBorder="1" applyAlignment="1" applyProtection="1">
      <alignment horizontal="center" vertical="center"/>
      <protection locked="0"/>
    </xf>
    <xf numFmtId="9" fontId="0" fillId="7" borderId="38" xfId="0" applyNumberFormat="1" applyFill="1" applyBorder="1" applyAlignment="1" applyProtection="1">
      <alignment horizontal="center" vertical="center"/>
      <protection locked="0"/>
    </xf>
    <xf numFmtId="9" fontId="0" fillId="7" borderId="17" xfId="0" applyNumberFormat="1" applyFill="1" applyBorder="1" applyAlignment="1" applyProtection="1">
      <alignment horizontal="center" vertical="center"/>
      <protection locked="0"/>
    </xf>
    <xf numFmtId="0" fontId="33" fillId="3" borderId="42" xfId="0" applyFont="1" applyFill="1" applyBorder="1" applyAlignment="1">
      <alignment horizontal="center" vertical="center"/>
    </xf>
    <xf numFmtId="0" fontId="60" fillId="3" borderId="2" xfId="0" applyFont="1" applyFill="1" applyBorder="1" applyAlignment="1" applyProtection="1">
      <alignment vertical="center"/>
    </xf>
    <xf numFmtId="0" fontId="29" fillId="3" borderId="19" xfId="0" applyFont="1" applyFill="1" applyBorder="1"/>
    <xf numFmtId="0" fontId="42" fillId="3" borderId="42" xfId="0" applyFont="1" applyFill="1" applyBorder="1"/>
    <xf numFmtId="1" fontId="60" fillId="3" borderId="43" xfId="0" applyNumberFormat="1" applyFont="1" applyFill="1" applyBorder="1" applyAlignment="1" applyProtection="1">
      <alignment horizontal="center" vertical="center"/>
    </xf>
    <xf numFmtId="166" fontId="60" fillId="3" borderId="29" xfId="0" applyNumberFormat="1" applyFont="1" applyFill="1" applyBorder="1" applyAlignment="1" applyProtection="1">
      <alignment horizontal="center" vertical="center"/>
    </xf>
    <xf numFmtId="10" fontId="42" fillId="3" borderId="30" xfId="0" applyNumberFormat="1" applyFont="1" applyFill="1" applyBorder="1" applyAlignment="1" applyProtection="1">
      <alignment horizontal="center" vertical="center"/>
    </xf>
    <xf numFmtId="166" fontId="42" fillId="3" borderId="29" xfId="0" applyNumberFormat="1" applyFont="1" applyFill="1" applyBorder="1" applyAlignment="1" applyProtection="1">
      <alignment horizontal="center" vertical="center"/>
    </xf>
    <xf numFmtId="1" fontId="60" fillId="3" borderId="21" xfId="0" applyNumberFormat="1" applyFont="1" applyFill="1" applyBorder="1" applyAlignment="1" applyProtection="1">
      <alignment horizontal="center" vertical="center"/>
    </xf>
    <xf numFmtId="1" fontId="60" fillId="3" borderId="44" xfId="0" applyNumberFormat="1" applyFont="1" applyFill="1" applyBorder="1" applyAlignment="1" applyProtection="1">
      <alignment horizontal="center" vertical="center"/>
    </xf>
    <xf numFmtId="0" fontId="42" fillId="3" borderId="45" xfId="0" applyFont="1" applyFill="1" applyBorder="1" applyAlignment="1" applyProtection="1">
      <alignment horizontal="center" vertical="center"/>
    </xf>
    <xf numFmtId="10" fontId="60" fillId="3" borderId="20" xfId="0" applyNumberFormat="1" applyFont="1" applyFill="1" applyBorder="1" applyAlignment="1" applyProtection="1">
      <alignment horizontal="center" vertical="center"/>
    </xf>
    <xf numFmtId="0" fontId="57" fillId="3" borderId="46" xfId="0" applyFont="1" applyFill="1" applyBorder="1" applyAlignment="1" applyProtection="1">
      <alignment horizontal="center" vertical="center"/>
    </xf>
    <xf numFmtId="10" fontId="60" fillId="3" borderId="23" xfId="0" applyNumberFormat="1" applyFont="1" applyFill="1" applyBorder="1" applyAlignment="1" applyProtection="1">
      <alignment horizontal="center" vertical="center"/>
    </xf>
    <xf numFmtId="10" fontId="42" fillId="7" borderId="30" xfId="0" applyNumberFormat="1" applyFont="1" applyFill="1" applyBorder="1" applyAlignment="1" applyProtection="1">
      <alignment horizontal="center" vertical="center"/>
      <protection locked="0"/>
    </xf>
    <xf numFmtId="0" fontId="33" fillId="3" borderId="19" xfId="0" applyFont="1" applyFill="1" applyBorder="1" applyAlignment="1">
      <alignment horizontal="center" vertical="center"/>
    </xf>
    <xf numFmtId="1" fontId="68" fillId="3" borderId="22" xfId="0" applyNumberFormat="1" applyFont="1" applyFill="1" applyBorder="1" applyAlignment="1" applyProtection="1">
      <alignment horizontal="center" vertical="center" wrapText="1"/>
    </xf>
    <xf numFmtId="0" fontId="73" fillId="3" borderId="0" xfId="0" applyFont="1" applyFill="1"/>
    <xf numFmtId="0" fontId="73" fillId="3" borderId="0" xfId="0" applyFont="1" applyFill="1" applyBorder="1"/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/>
    </xf>
    <xf numFmtId="0" fontId="75" fillId="2" borderId="0" xfId="0" applyFont="1" applyFill="1"/>
    <xf numFmtId="0" fontId="74" fillId="2" borderId="0" xfId="0" applyFont="1" applyFill="1"/>
    <xf numFmtId="0" fontId="76" fillId="2" borderId="0" xfId="0" applyFont="1" applyFill="1" applyBorder="1"/>
    <xf numFmtId="164" fontId="0" fillId="2" borderId="0" xfId="0" applyNumberFormat="1" applyFill="1" applyAlignment="1" applyProtection="1">
      <alignment horizontal="center"/>
    </xf>
    <xf numFmtId="1" fontId="0" fillId="2" borderId="0" xfId="0" applyNumberFormat="1" applyFill="1" applyBorder="1" applyAlignment="1" applyProtection="1">
      <alignment horizontal="center"/>
    </xf>
    <xf numFmtId="0" fontId="35" fillId="2" borderId="0" xfId="0" applyFont="1" applyFill="1"/>
    <xf numFmtId="177" fontId="76" fillId="2" borderId="0" xfId="0" applyNumberFormat="1" applyFont="1" applyFill="1"/>
    <xf numFmtId="0" fontId="3" fillId="3" borderId="0" xfId="0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6" fillId="0" borderId="47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7" borderId="6" xfId="0" applyNumberFormat="1" applyFont="1" applyFill="1" applyBorder="1" applyAlignment="1">
      <alignment horizontal="center" vertical="center" wrapText="1"/>
    </xf>
    <xf numFmtId="1" fontId="3" fillId="7" borderId="48" xfId="0" applyNumberFormat="1" applyFont="1" applyFill="1" applyBorder="1" applyAlignment="1">
      <alignment horizontal="center" vertical="center" wrapText="1"/>
    </xf>
    <xf numFmtId="2" fontId="3" fillId="9" borderId="49" xfId="0" applyNumberFormat="1" applyFont="1" applyFill="1" applyBorder="1" applyAlignment="1">
      <alignment horizontal="center" vertical="center" wrapText="1"/>
    </xf>
    <xf numFmtId="2" fontId="3" fillId="9" borderId="50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2" fontId="3" fillId="9" borderId="51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left" vertical="center" wrapText="1"/>
    </xf>
    <xf numFmtId="1" fontId="3" fillId="3" borderId="54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164" fontId="3" fillId="0" borderId="49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55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7" borderId="14" xfId="0" applyFill="1" applyBorder="1" applyAlignment="1" applyProtection="1">
      <alignment horizontal="center" vertical="center" wrapText="1"/>
      <protection locked="0"/>
    </xf>
    <xf numFmtId="0" fontId="0" fillId="7" borderId="17" xfId="0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Alignment="1" applyProtection="1">
      <alignment horizontal="center" vertical="center" wrapText="1"/>
      <protection locked="0"/>
    </xf>
    <xf numFmtId="0" fontId="0" fillId="7" borderId="38" xfId="0" applyFill="1" applyBorder="1" applyAlignment="1" applyProtection="1">
      <alignment horizontal="center" vertical="center" wrapText="1"/>
      <protection locked="0"/>
    </xf>
    <xf numFmtId="0" fontId="33" fillId="6" borderId="9" xfId="0" applyFont="1" applyFill="1" applyBorder="1" applyAlignment="1" applyProtection="1">
      <alignment horizontal="left" vertical="center" wrapText="1"/>
    </xf>
    <xf numFmtId="0" fontId="40" fillId="6" borderId="9" xfId="0" applyFont="1" applyFill="1" applyBorder="1" applyAlignment="1" applyProtection="1">
      <alignment horizontal="left" vertical="center" wrapText="1"/>
    </xf>
    <xf numFmtId="0" fontId="33" fillId="3" borderId="0" xfId="0" applyFont="1" applyFill="1" applyBorder="1" applyAlignment="1" applyProtection="1">
      <alignment horizontal="left" vertical="center" wrapText="1"/>
    </xf>
    <xf numFmtId="2" fontId="33" fillId="3" borderId="0" xfId="0" applyNumberFormat="1" applyFont="1" applyFill="1" applyBorder="1" applyAlignment="1" applyProtection="1">
      <alignment horizontal="center" vertical="center" wrapText="1"/>
    </xf>
    <xf numFmtId="0" fontId="40" fillId="3" borderId="0" xfId="0" applyFont="1" applyFill="1" applyBorder="1" applyAlignment="1" applyProtection="1">
      <alignment horizontal="left" vertical="center" wrapText="1"/>
    </xf>
    <xf numFmtId="178" fontId="33" fillId="3" borderId="0" xfId="0" applyNumberFormat="1" applyFont="1" applyFill="1" applyAlignment="1" applyProtection="1">
      <alignment horizontal="center" vertical="center" wrapText="1"/>
      <protection locked="0"/>
    </xf>
    <xf numFmtId="165" fontId="33" fillId="3" borderId="0" xfId="0" applyNumberFormat="1" applyFont="1" applyFill="1" applyBorder="1" applyAlignment="1" applyProtection="1">
      <alignment horizontal="center" vertical="center" wrapText="1"/>
      <protection locked="0"/>
    </xf>
    <xf numFmtId="179" fontId="45" fillId="12" borderId="14" xfId="0" applyNumberFormat="1" applyFont="1" applyFill="1" applyBorder="1" applyAlignment="1" applyProtection="1">
      <alignment horizontal="center" vertical="center"/>
    </xf>
    <xf numFmtId="2" fontId="33" fillId="12" borderId="17" xfId="0" applyNumberFormat="1" applyFont="1" applyFill="1" applyBorder="1" applyAlignment="1" applyProtection="1">
      <alignment horizontal="center" vertical="center" wrapText="1"/>
    </xf>
    <xf numFmtId="178" fontId="33" fillId="10" borderId="17" xfId="0" applyNumberFormat="1" applyFont="1" applyFill="1" applyBorder="1" applyAlignment="1" applyProtection="1">
      <alignment horizontal="center" vertical="center" wrapText="1"/>
      <protection locked="0"/>
    </xf>
    <xf numFmtId="165" fontId="33" fillId="10" borderId="17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56" xfId="0" applyFont="1" applyFill="1" applyBorder="1" applyAlignment="1" applyProtection="1">
      <alignment vertical="center" wrapText="1"/>
    </xf>
    <xf numFmtId="0" fontId="33" fillId="6" borderId="19" xfId="0" applyFont="1" applyFill="1" applyBorder="1" applyAlignment="1" applyProtection="1">
      <alignment vertical="center" wrapText="1"/>
    </xf>
    <xf numFmtId="0" fontId="33" fillId="6" borderId="42" xfId="0" applyFont="1" applyFill="1" applyBorder="1" applyAlignment="1" applyProtection="1">
      <alignment vertical="center" wrapText="1"/>
    </xf>
    <xf numFmtId="10" fontId="33" fillId="12" borderId="17" xfId="0" applyNumberFormat="1" applyFont="1" applyFill="1" applyBorder="1" applyAlignment="1" applyProtection="1">
      <alignment horizontal="center" vertical="center"/>
    </xf>
    <xf numFmtId="0" fontId="33" fillId="6" borderId="19" xfId="0" applyFont="1" applyFill="1" applyBorder="1" applyAlignment="1" applyProtection="1">
      <alignment horizontal="center" vertical="center"/>
    </xf>
    <xf numFmtId="0" fontId="33" fillId="6" borderId="56" xfId="0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2" fontId="3" fillId="8" borderId="9" xfId="0" applyNumberFormat="1" applyFont="1" applyFill="1" applyBorder="1" applyAlignment="1">
      <alignment horizontal="center" vertical="center"/>
    </xf>
    <xf numFmtId="164" fontId="3" fillId="13" borderId="9" xfId="0" applyNumberFormat="1" applyFont="1" applyFill="1" applyBorder="1" applyAlignment="1">
      <alignment horizontal="center" vertical="center"/>
    </xf>
    <xf numFmtId="171" fontId="3" fillId="4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80" fillId="7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18" fillId="3" borderId="0" xfId="0" applyNumberFormat="1" applyFont="1" applyFill="1" applyAlignment="1">
      <alignment horizontal="center"/>
    </xf>
    <xf numFmtId="2" fontId="18" fillId="3" borderId="0" xfId="0" applyNumberFormat="1" applyFont="1" applyFill="1" applyAlignment="1"/>
    <xf numFmtId="2" fontId="2" fillId="3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4" fontId="2" fillId="0" borderId="8" xfId="6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3" borderId="0" xfId="0" applyNumberFormat="1" applyFont="1" applyFill="1"/>
    <xf numFmtId="1" fontId="2" fillId="3" borderId="0" xfId="0" applyNumberFormat="1" applyFont="1" applyFill="1" applyAlignment="1"/>
    <xf numFmtId="164" fontId="2" fillId="3" borderId="0" xfId="0" applyNumberFormat="1" applyFont="1" applyFill="1"/>
    <xf numFmtId="1" fontId="2" fillId="3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center" vertical="center"/>
    </xf>
    <xf numFmtId="180" fontId="2" fillId="5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1" fontId="57" fillId="0" borderId="0" xfId="0" applyNumberFormat="1" applyFont="1" applyFill="1" applyBorder="1" applyAlignment="1">
      <alignment horizontal="center" vertical="center"/>
    </xf>
    <xf numFmtId="18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82" fillId="3" borderId="0" xfId="0" applyNumberFormat="1" applyFont="1" applyFill="1" applyBorder="1" applyAlignment="1">
      <alignment vertical="center"/>
    </xf>
    <xf numFmtId="0" fontId="10" fillId="7" borderId="16" xfId="0" applyFont="1" applyFill="1" applyBorder="1" applyAlignment="1" applyProtection="1">
      <alignment horizontal="center" vertical="justify" wrapText="1"/>
    </xf>
    <xf numFmtId="164" fontId="16" fillId="4" borderId="34" xfId="0" applyNumberFormat="1" applyFont="1" applyFill="1" applyBorder="1" applyAlignment="1" applyProtection="1">
      <alignment horizontal="center" vertical="justify" wrapText="1"/>
    </xf>
    <xf numFmtId="0" fontId="10" fillId="4" borderId="16" xfId="0" applyFont="1" applyFill="1" applyBorder="1" applyAlignment="1" applyProtection="1">
      <alignment horizontal="center" vertical="justify" wrapText="1"/>
    </xf>
    <xf numFmtId="0" fontId="81" fillId="4" borderId="34" xfId="0" applyFont="1" applyFill="1" applyBorder="1" applyAlignment="1" applyProtection="1">
      <alignment horizontal="center" vertical="justify" wrapText="1"/>
    </xf>
    <xf numFmtId="0" fontId="2" fillId="3" borderId="0" xfId="0" applyFont="1" applyFill="1" applyAlignment="1" applyProtection="1">
      <alignment horizontal="center" vertical="justify" wrapText="1"/>
    </xf>
    <xf numFmtId="0" fontId="2" fillId="0" borderId="0" xfId="0" applyFont="1" applyAlignment="1" applyProtection="1">
      <alignment horizontal="center" vertical="justify" wrapText="1"/>
    </xf>
    <xf numFmtId="0" fontId="10" fillId="7" borderId="12" xfId="0" applyFont="1" applyFill="1" applyBorder="1" applyAlignment="1" applyProtection="1">
      <alignment vertical="center"/>
    </xf>
    <xf numFmtId="164" fontId="16" fillId="4" borderId="1" xfId="0" applyNumberFormat="1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7" borderId="10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center" vertical="center"/>
    </xf>
    <xf numFmtId="0" fontId="57" fillId="3" borderId="0" xfId="0" applyFont="1" applyFill="1" applyBorder="1" applyAlignment="1" applyProtection="1">
      <alignment horizontal="center" vertical="center"/>
    </xf>
    <xf numFmtId="49" fontId="57" fillId="3" borderId="0" xfId="0" applyNumberFormat="1" applyFont="1" applyFill="1" applyBorder="1" applyAlignment="1" applyProtection="1">
      <alignment vertical="center"/>
    </xf>
    <xf numFmtId="1" fontId="64" fillId="3" borderId="0" xfId="0" applyNumberFormat="1" applyFont="1" applyFill="1" applyBorder="1" applyAlignment="1" applyProtection="1">
      <alignment horizontal="centerContinuous" vertical="center"/>
    </xf>
    <xf numFmtId="1" fontId="57" fillId="3" borderId="0" xfId="0" applyNumberFormat="1" applyFont="1" applyFill="1" applyBorder="1" applyAlignment="1" applyProtection="1">
      <alignment horizontal="centerContinuous" vertical="center"/>
    </xf>
    <xf numFmtId="2" fontId="57" fillId="3" borderId="0" xfId="0" applyNumberFormat="1" applyFont="1" applyFill="1" applyBorder="1" applyAlignment="1" applyProtection="1">
      <alignment horizontal="centerContinuous" vertical="center"/>
    </xf>
    <xf numFmtId="164" fontId="57" fillId="3" borderId="0" xfId="0" applyNumberFormat="1" applyFont="1" applyFill="1" applyBorder="1" applyAlignment="1" applyProtection="1">
      <alignment horizontal="centerContinuous" vertical="center"/>
    </xf>
    <xf numFmtId="164" fontId="65" fillId="3" borderId="0" xfId="0" applyNumberFormat="1" applyFont="1" applyFill="1" applyBorder="1" applyAlignment="1" applyProtection="1">
      <alignment horizontal="centerContinuous" vertical="center"/>
    </xf>
    <xf numFmtId="1" fontId="64" fillId="3" borderId="0" xfId="0" applyNumberFormat="1" applyFont="1" applyFill="1" applyBorder="1" applyAlignment="1" applyProtection="1">
      <alignment horizontal="center" vertical="center"/>
    </xf>
    <xf numFmtId="0" fontId="57" fillId="3" borderId="0" xfId="0" applyFont="1" applyFill="1" applyBorder="1" applyAlignment="1" applyProtection="1">
      <alignment vertical="center"/>
    </xf>
    <xf numFmtId="0" fontId="57" fillId="3" borderId="4" xfId="0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180" fontId="2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centerContinuous" vertical="center" shrinkToFit="1"/>
    </xf>
    <xf numFmtId="2" fontId="2" fillId="0" borderId="0" xfId="0" applyNumberFormat="1" applyFont="1" applyBorder="1" applyAlignment="1" applyProtection="1">
      <alignment horizontal="centerContinuous" vertical="center"/>
    </xf>
    <xf numFmtId="0" fontId="0" fillId="3" borderId="0" xfId="0" applyFill="1" applyAlignment="1" applyProtection="1">
      <alignment horizontal="center" vertical="center" wrapText="1"/>
    </xf>
    <xf numFmtId="2" fontId="0" fillId="3" borderId="0" xfId="0" applyNumberFormat="1" applyFill="1" applyAlignment="1" applyProtection="1">
      <alignment horizontal="center" vertical="center" wrapText="1"/>
    </xf>
    <xf numFmtId="0" fontId="40" fillId="6" borderId="9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0" fillId="9" borderId="57" xfId="0" applyFill="1" applyBorder="1" applyAlignment="1" applyProtection="1">
      <alignment horizontal="center" vertical="center" wrapText="1"/>
    </xf>
    <xf numFmtId="0" fontId="0" fillId="9" borderId="1" xfId="0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0" fillId="9" borderId="51" xfId="0" applyFill="1" applyBorder="1" applyAlignment="1" applyProtection="1">
      <alignment horizontal="center" vertical="center" wrapText="1"/>
    </xf>
    <xf numFmtId="0" fontId="0" fillId="0" borderId="41" xfId="0" applyFill="1" applyBorder="1" applyAlignment="1" applyProtection="1">
      <alignment horizontal="center" vertical="center" wrapText="1"/>
    </xf>
    <xf numFmtId="164" fontId="0" fillId="0" borderId="58" xfId="0" applyNumberFormat="1" applyFill="1" applyBorder="1" applyAlignment="1" applyProtection="1">
      <alignment horizontal="center" vertical="center" wrapText="1"/>
    </xf>
    <xf numFmtId="164" fontId="0" fillId="0" borderId="34" xfId="0" applyNumberFormat="1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 vertical="center" wrapText="1"/>
    </xf>
    <xf numFmtId="164" fontId="0" fillId="0" borderId="59" xfId="0" applyNumberFormat="1" applyFill="1" applyBorder="1" applyAlignment="1" applyProtection="1">
      <alignment horizontal="center" vertical="center" wrapText="1"/>
    </xf>
    <xf numFmtId="164" fontId="0" fillId="0" borderId="54" xfId="0" applyNumberForma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164" fontId="0" fillId="0" borderId="10" xfId="0" applyNumberFormat="1" applyFill="1" applyBorder="1" applyAlignment="1" applyProtection="1">
      <alignment horizontal="center" vertical="center" wrapText="1"/>
    </xf>
    <xf numFmtId="2" fontId="0" fillId="0" borderId="8" xfId="0" applyNumberFormat="1" applyFill="1" applyBorder="1" applyAlignment="1" applyProtection="1">
      <alignment horizontal="center" vertical="center" wrapText="1"/>
    </xf>
    <xf numFmtId="164" fontId="0" fillId="0" borderId="4" xfId="0" applyNumberFormat="1" applyFill="1" applyBorder="1" applyAlignment="1" applyProtection="1">
      <alignment horizontal="center" vertical="center" wrapText="1"/>
    </xf>
    <xf numFmtId="164" fontId="0" fillId="0" borderId="47" xfId="0" applyNumberFormat="1" applyFill="1" applyBorder="1" applyAlignment="1" applyProtection="1">
      <alignment horizontal="center" vertical="center" wrapText="1"/>
    </xf>
    <xf numFmtId="164" fontId="0" fillId="0" borderId="57" xfId="0" applyNumberForma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60" xfId="0" applyFill="1" applyBorder="1" applyAlignment="1" applyProtection="1">
      <alignment horizontal="center" vertical="center" wrapText="1"/>
    </xf>
    <xf numFmtId="164" fontId="0" fillId="0" borderId="13" xfId="0" applyNumberForma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54" xfId="0" applyFill="1" applyBorder="1" applyAlignment="1" applyProtection="1">
      <alignment horizontal="center" vertical="center" wrapText="1"/>
    </xf>
    <xf numFmtId="0" fontId="0" fillId="0" borderId="49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47" xfId="0" applyFill="1" applyBorder="1" applyAlignment="1" applyProtection="1">
      <alignment horizontal="center" vertical="center" wrapText="1"/>
    </xf>
    <xf numFmtId="164" fontId="3" fillId="0" borderId="52" xfId="0" applyNumberFormat="1" applyFont="1" applyFill="1" applyBorder="1" applyAlignment="1" applyProtection="1">
      <alignment horizontal="center" vertical="center" wrapText="1"/>
    </xf>
    <xf numFmtId="2" fontId="3" fillId="0" borderId="52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0" fillId="3" borderId="41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center" wrapText="1"/>
    </xf>
    <xf numFmtId="0" fontId="3" fillId="9" borderId="45" xfId="0" applyFont="1" applyFill="1" applyBorder="1" applyAlignment="1" applyProtection="1">
      <alignment horizontal="center" vertical="top" wrapText="1"/>
    </xf>
    <xf numFmtId="0" fontId="3" fillId="9" borderId="49" xfId="0" applyFont="1" applyFill="1" applyBorder="1" applyAlignment="1" applyProtection="1">
      <alignment horizontal="center" vertical="top" wrapText="1"/>
    </xf>
    <xf numFmtId="0" fontId="3" fillId="9" borderId="50" xfId="0" applyFont="1" applyFill="1" applyBorder="1" applyAlignment="1" applyProtection="1">
      <alignment horizontal="center" vertical="top" wrapText="1"/>
    </xf>
    <xf numFmtId="164" fontId="0" fillId="0" borderId="16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 wrapText="1"/>
    </xf>
    <xf numFmtId="164" fontId="0" fillId="0" borderId="61" xfId="0" applyNumberFormat="1" applyFill="1" applyBorder="1" applyAlignment="1" applyProtection="1">
      <alignment horizontal="center" vertical="center" wrapText="1"/>
    </xf>
    <xf numFmtId="164" fontId="0" fillId="0" borderId="24" xfId="0" applyNumberFormat="1" applyFill="1" applyBorder="1" applyAlignment="1" applyProtection="1">
      <alignment horizontal="center" vertical="center" wrapText="1"/>
    </xf>
    <xf numFmtId="164" fontId="0" fillId="0" borderId="62" xfId="0" applyNumberForma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 vertical="center" wrapText="1"/>
    </xf>
    <xf numFmtId="1" fontId="108" fillId="14" borderId="0" xfId="0" applyNumberFormat="1" applyFont="1" applyFill="1" applyAlignment="1" applyProtection="1">
      <alignment horizontal="center"/>
    </xf>
    <xf numFmtId="164" fontId="6" fillId="14" borderId="0" xfId="0" applyNumberFormat="1" applyFont="1" applyFill="1" applyBorder="1" applyAlignment="1" applyProtection="1">
      <alignment horizontal="center" vertical="justify" wrapText="1"/>
    </xf>
    <xf numFmtId="164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top" wrapText="1"/>
    </xf>
    <xf numFmtId="0" fontId="0" fillId="2" borderId="0" xfId="0" applyNumberForma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6" fillId="14" borderId="0" xfId="0" applyNumberFormat="1" applyFont="1" applyFill="1" applyBorder="1" applyAlignment="1" applyProtection="1">
      <alignment horizontal="center" vertical="justify" wrapText="1"/>
    </xf>
    <xf numFmtId="0" fontId="6" fillId="14" borderId="0" xfId="0" applyNumberFormat="1" applyFont="1" applyFill="1" applyBorder="1" applyAlignment="1" applyProtection="1">
      <alignment horizontal="center" vertical="top" wrapText="1"/>
    </xf>
    <xf numFmtId="0" fontId="6" fillId="14" borderId="0" xfId="0" applyNumberFormat="1" applyFont="1" applyFill="1" applyBorder="1" applyAlignment="1" applyProtection="1">
      <alignment horizontal="center" vertical="center"/>
    </xf>
    <xf numFmtId="0" fontId="0" fillId="2" borderId="0" xfId="2" applyNumberFormat="1" applyFont="1" applyFill="1" applyAlignment="1">
      <alignment horizontal="center"/>
    </xf>
    <xf numFmtId="164" fontId="6" fillId="14" borderId="2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0" fillId="2" borderId="63" xfId="0" applyFill="1" applyBorder="1"/>
    <xf numFmtId="0" fontId="13" fillId="2" borderId="4" xfId="0" applyNumberFormat="1" applyFont="1" applyFill="1" applyBorder="1" applyAlignment="1">
      <alignment horizontal="center" vertical="center" wrapText="1"/>
    </xf>
    <xf numFmtId="0" fontId="13" fillId="14" borderId="12" xfId="0" applyNumberFormat="1" applyFont="1" applyFill="1" applyBorder="1" applyAlignment="1" applyProtection="1">
      <alignment horizontal="center" vertical="center"/>
    </xf>
    <xf numFmtId="0" fontId="13" fillId="14" borderId="3" xfId="0" applyNumberFormat="1" applyFont="1" applyFill="1" applyBorder="1" applyAlignment="1" applyProtection="1">
      <alignment horizontal="center" vertical="center"/>
    </xf>
    <xf numFmtId="0" fontId="13" fillId="14" borderId="11" xfId="0" applyNumberFormat="1" applyFont="1" applyFill="1" applyBorder="1" applyAlignment="1" applyProtection="1">
      <alignment horizontal="center" vertical="center"/>
    </xf>
    <xf numFmtId="0" fontId="13" fillId="14" borderId="1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7" borderId="11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7" borderId="12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Continuous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center" vertical="center"/>
    </xf>
    <xf numFmtId="0" fontId="14" fillId="2" borderId="1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0" fontId="14" fillId="2" borderId="13" xfId="0" applyNumberFormat="1" applyFont="1" applyFill="1" applyBorder="1" applyAlignment="1">
      <alignment horizontal="center"/>
    </xf>
    <xf numFmtId="0" fontId="14" fillId="2" borderId="12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0" fontId="14" fillId="2" borderId="11" xfId="0" applyNumberFormat="1" applyFont="1" applyFill="1" applyBorder="1" applyAlignment="1">
      <alignment horizontal="center"/>
    </xf>
    <xf numFmtId="0" fontId="14" fillId="2" borderId="16" xfId="0" applyNumberFormat="1" applyFont="1" applyFill="1" applyBorder="1" applyAlignment="1">
      <alignment horizontal="center"/>
    </xf>
    <xf numFmtId="0" fontId="14" fillId="2" borderId="18" xfId="0" applyNumberFormat="1" applyFont="1" applyFill="1" applyBorder="1" applyAlignment="1">
      <alignment horizontal="center"/>
    </xf>
    <xf numFmtId="0" fontId="14" fillId="0" borderId="6" xfId="0" applyNumberFormat="1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/>
    </xf>
    <xf numFmtId="1" fontId="14" fillId="2" borderId="4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 applyProtection="1">
      <alignment horizontal="center"/>
      <protection locked="0"/>
    </xf>
    <xf numFmtId="0" fontId="12" fillId="2" borderId="64" xfId="0" applyNumberFormat="1" applyFont="1" applyFill="1" applyBorder="1" applyAlignment="1">
      <alignment horizontal="center" vertical="center"/>
    </xf>
    <xf numFmtId="0" fontId="8" fillId="2" borderId="65" xfId="0" applyNumberFormat="1" applyFont="1" applyFill="1" applyBorder="1" applyAlignment="1">
      <alignment horizontal="centerContinuous" vertical="center"/>
    </xf>
    <xf numFmtId="0" fontId="8" fillId="2" borderId="66" xfId="0" applyNumberFormat="1" applyFont="1" applyFill="1" applyBorder="1" applyAlignment="1">
      <alignment horizontal="centerContinuous" vertical="center"/>
    </xf>
    <xf numFmtId="0" fontId="8" fillId="2" borderId="67" xfId="0" applyNumberFormat="1" applyFont="1" applyFill="1" applyBorder="1" applyAlignment="1">
      <alignment horizontal="centerContinuous" vertical="center"/>
    </xf>
    <xf numFmtId="0" fontId="8" fillId="4" borderId="41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Continuous" vertical="center"/>
    </xf>
    <xf numFmtId="0" fontId="13" fillId="7" borderId="0" xfId="0" applyNumberFormat="1" applyFont="1" applyFill="1" applyBorder="1" applyAlignment="1">
      <alignment horizontal="center" vertical="center"/>
    </xf>
    <xf numFmtId="0" fontId="13" fillId="2" borderId="24" xfId="0" applyNumberFormat="1" applyFont="1" applyFill="1" applyBorder="1" applyAlignment="1">
      <alignment horizontal="center" vertical="center"/>
    </xf>
    <xf numFmtId="0" fontId="13" fillId="2" borderId="24" xfId="0" applyNumberFormat="1" applyFont="1" applyFill="1" applyBorder="1" applyAlignment="1">
      <alignment horizontal="center" vertical="center" wrapText="1"/>
    </xf>
    <xf numFmtId="0" fontId="13" fillId="2" borderId="62" xfId="0" applyNumberFormat="1" applyFont="1" applyFill="1" applyBorder="1" applyAlignment="1">
      <alignment horizontal="center" vertical="center"/>
    </xf>
    <xf numFmtId="0" fontId="14" fillId="7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Continuous" vertical="center"/>
    </xf>
    <xf numFmtId="0" fontId="14" fillId="2" borderId="24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/>
    </xf>
    <xf numFmtId="0" fontId="14" fillId="3" borderId="28" xfId="0" applyNumberFormat="1" applyFont="1" applyFill="1" applyBorder="1" applyAlignment="1" applyProtection="1">
      <alignment horizontal="center" vertical="center"/>
      <protection locked="0"/>
    </xf>
    <xf numFmtId="1" fontId="14" fillId="4" borderId="28" xfId="0" applyNumberFormat="1" applyFont="1" applyFill="1" applyBorder="1" applyAlignment="1" applyProtection="1">
      <alignment horizontal="center" vertical="center"/>
    </xf>
    <xf numFmtId="0" fontId="14" fillId="4" borderId="28" xfId="0" applyNumberFormat="1" applyFont="1" applyFill="1" applyBorder="1" applyAlignment="1" applyProtection="1">
      <alignment horizontal="center" vertical="center"/>
    </xf>
    <xf numFmtId="164" fontId="14" fillId="4" borderId="28" xfId="0" applyNumberFormat="1" applyFont="1" applyFill="1" applyBorder="1" applyAlignment="1" applyProtection="1">
      <alignment horizontal="center" vertical="center"/>
    </xf>
    <xf numFmtId="0" fontId="12" fillId="2" borderId="68" xfId="0" applyNumberFormat="1" applyFont="1" applyFill="1" applyBorder="1" applyAlignment="1">
      <alignment horizontal="center"/>
    </xf>
    <xf numFmtId="0" fontId="12" fillId="2" borderId="2" xfId="0" applyNumberFormat="1" applyFont="1" applyFill="1" applyBorder="1"/>
    <xf numFmtId="0" fontId="12" fillId="2" borderId="63" xfId="0" applyNumberFormat="1" applyFont="1" applyFill="1" applyBorder="1"/>
    <xf numFmtId="0" fontId="12" fillId="2" borderId="55" xfId="0" applyNumberFormat="1" applyFont="1" applyFill="1" applyBorder="1"/>
    <xf numFmtId="0" fontId="24" fillId="2" borderId="0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/>
    </xf>
    <xf numFmtId="0" fontId="8" fillId="4" borderId="60" xfId="0" applyNumberFormat="1" applyFont="1" applyFill="1" applyBorder="1" applyAlignment="1">
      <alignment horizontal="center" vertical="center"/>
    </xf>
    <xf numFmtId="0" fontId="8" fillId="4" borderId="69" xfId="0" applyNumberFormat="1" applyFont="1" applyFill="1" applyBorder="1" applyAlignment="1">
      <alignment horizontal="center" vertical="center"/>
    </xf>
    <xf numFmtId="0" fontId="8" fillId="4" borderId="68" xfId="0" applyNumberFormat="1" applyFont="1" applyFill="1" applyBorder="1" applyAlignment="1">
      <alignment horizontal="center" vertical="center"/>
    </xf>
    <xf numFmtId="0" fontId="13" fillId="2" borderId="13" xfId="0" applyNumberFormat="1" applyFont="1" applyFill="1" applyBorder="1" applyAlignment="1">
      <alignment horizontal="center" vertical="center"/>
    </xf>
    <xf numFmtId="164" fontId="14" fillId="15" borderId="15" xfId="0" applyNumberFormat="1" applyFont="1" applyFill="1" applyBorder="1" applyAlignment="1" applyProtection="1">
      <alignment horizontal="center" vertical="center"/>
    </xf>
    <xf numFmtId="0" fontId="12" fillId="2" borderId="64" xfId="0" applyNumberFormat="1" applyFont="1" applyFill="1" applyBorder="1" applyAlignment="1">
      <alignment vertical="center"/>
    </xf>
    <xf numFmtId="0" fontId="12" fillId="2" borderId="58" xfId="0" applyNumberFormat="1" applyFont="1" applyFill="1" applyBorder="1" applyAlignment="1">
      <alignment vertical="center"/>
    </xf>
    <xf numFmtId="0" fontId="12" fillId="2" borderId="54" xfId="0" applyNumberFormat="1" applyFont="1" applyFill="1" applyBorder="1" applyAlignment="1">
      <alignment vertical="center"/>
    </xf>
    <xf numFmtId="0" fontId="51" fillId="2" borderId="57" xfId="0" applyNumberFormat="1" applyFont="1" applyFill="1" applyBorder="1" applyAlignment="1">
      <alignment vertical="center"/>
    </xf>
    <xf numFmtId="0" fontId="12" fillId="2" borderId="41" xfId="0" applyNumberFormat="1" applyFont="1" applyFill="1" applyBorder="1" applyAlignment="1">
      <alignment vertical="center"/>
    </xf>
    <xf numFmtId="0" fontId="12" fillId="2" borderId="69" xfId="0" applyNumberFormat="1" applyFont="1" applyFill="1" applyBorder="1" applyAlignment="1">
      <alignment vertical="center"/>
    </xf>
    <xf numFmtId="1" fontId="33" fillId="3" borderId="22" xfId="0" applyNumberFormat="1" applyFont="1" applyFill="1" applyBorder="1" applyAlignment="1" applyProtection="1">
      <alignment horizontal="center" vertical="center" wrapText="1"/>
    </xf>
    <xf numFmtId="0" fontId="33" fillId="3" borderId="2" xfId="0" applyFont="1" applyFill="1" applyBorder="1" applyAlignment="1">
      <alignment horizontal="center" vertical="center"/>
    </xf>
    <xf numFmtId="0" fontId="42" fillId="3" borderId="40" xfId="0" applyFont="1" applyFill="1" applyBorder="1" applyAlignment="1" applyProtection="1">
      <alignment horizontal="center" vertical="center"/>
    </xf>
    <xf numFmtId="0" fontId="42" fillId="3" borderId="41" xfId="0" applyFont="1" applyFill="1" applyBorder="1" applyAlignment="1" applyProtection="1">
      <alignment horizontal="center" vertical="center"/>
    </xf>
    <xf numFmtId="0" fontId="42" fillId="3" borderId="68" xfId="0" applyFont="1" applyFill="1" applyBorder="1" applyAlignment="1" applyProtection="1">
      <alignment horizontal="center" vertical="center"/>
    </xf>
    <xf numFmtId="0" fontId="60" fillId="3" borderId="41" xfId="0" applyFont="1" applyFill="1" applyBorder="1" applyAlignment="1" applyProtection="1">
      <alignment vertical="center"/>
    </xf>
    <xf numFmtId="169" fontId="42" fillId="16" borderId="70" xfId="0" applyNumberFormat="1" applyFont="1" applyFill="1" applyBorder="1" applyAlignment="1" applyProtection="1">
      <alignment horizontal="center" vertical="center"/>
    </xf>
    <xf numFmtId="169" fontId="42" fillId="16" borderId="71" xfId="0" applyNumberFormat="1" applyFont="1" applyFill="1" applyBorder="1" applyAlignment="1" applyProtection="1">
      <alignment horizontal="center" vertical="center"/>
    </xf>
    <xf numFmtId="169" fontId="42" fillId="16" borderId="46" xfId="0" applyNumberFormat="1" applyFont="1" applyFill="1" applyBorder="1" applyAlignment="1" applyProtection="1">
      <alignment horizontal="center" vertical="center"/>
    </xf>
    <xf numFmtId="0" fontId="42" fillId="16" borderId="14" xfId="0" applyNumberFormat="1" applyFont="1" applyFill="1" applyBorder="1" applyAlignment="1" applyProtection="1">
      <alignment vertical="center"/>
    </xf>
    <xf numFmtId="9" fontId="42" fillId="16" borderId="71" xfId="0" applyNumberFormat="1" applyFont="1" applyFill="1" applyBorder="1" applyAlignment="1" applyProtection="1">
      <alignment horizontal="center" vertical="center"/>
    </xf>
    <xf numFmtId="0" fontId="42" fillId="16" borderId="17" xfId="0" applyNumberFormat="1" applyFont="1" applyFill="1" applyBorder="1" applyAlignment="1" applyProtection="1">
      <alignment vertical="center"/>
    </xf>
    <xf numFmtId="164" fontId="33" fillId="3" borderId="22" xfId="0" applyNumberFormat="1" applyFont="1" applyFill="1" applyBorder="1" applyAlignment="1" applyProtection="1">
      <alignment horizontal="center" vertical="center" wrapText="1"/>
    </xf>
    <xf numFmtId="1" fontId="42" fillId="3" borderId="2" xfId="0" applyNumberFormat="1" applyFont="1" applyFill="1" applyBorder="1" applyAlignment="1" applyProtection="1">
      <alignment horizontal="center" vertical="center"/>
    </xf>
    <xf numFmtId="1" fontId="33" fillId="3" borderId="26" xfId="0" applyNumberFormat="1" applyFont="1" applyFill="1" applyBorder="1" applyAlignment="1" applyProtection="1">
      <alignment horizontal="center" vertical="center"/>
    </xf>
    <xf numFmtId="1" fontId="28" fillId="3" borderId="28" xfId="0" applyNumberFormat="1" applyFont="1" applyFill="1" applyBorder="1" applyAlignment="1" applyProtection="1">
      <alignment horizontal="center" vertical="center"/>
    </xf>
    <xf numFmtId="164" fontId="28" fillId="3" borderId="28" xfId="0" applyNumberFormat="1" applyFont="1" applyFill="1" applyBorder="1" applyAlignment="1" applyProtection="1">
      <alignment horizontal="center" vertical="center"/>
    </xf>
    <xf numFmtId="164" fontId="33" fillId="3" borderId="22" xfId="0" applyNumberFormat="1" applyFont="1" applyFill="1" applyBorder="1" applyAlignment="1" applyProtection="1">
      <alignment horizontal="center" vertical="center"/>
    </xf>
    <xf numFmtId="2" fontId="14" fillId="15" borderId="11" xfId="0" applyNumberFormat="1" applyFont="1" applyFill="1" applyBorder="1" applyAlignment="1" applyProtection="1">
      <alignment horizontal="center" vertical="center"/>
      <protection locked="0"/>
    </xf>
    <xf numFmtId="2" fontId="14" fillId="15" borderId="15" xfId="0" applyNumberFormat="1" applyFont="1" applyFill="1" applyBorder="1" applyAlignment="1" applyProtection="1">
      <alignment horizontal="center" vertical="center"/>
      <protection locked="0"/>
    </xf>
    <xf numFmtId="168" fontId="60" fillId="3" borderId="0" xfId="0" applyNumberFormat="1" applyFont="1" applyFill="1" applyBorder="1" applyAlignment="1">
      <alignment horizontal="center" vertical="center"/>
    </xf>
    <xf numFmtId="0" fontId="60" fillId="3" borderId="0" xfId="0" applyFont="1" applyFill="1" applyBorder="1" applyAlignment="1" applyProtection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2" fontId="60" fillId="3" borderId="0" xfId="0" applyNumberFormat="1" applyFont="1" applyFill="1" applyBorder="1" applyAlignment="1">
      <alignment horizontal="center" vertical="center"/>
    </xf>
    <xf numFmtId="49" fontId="60" fillId="3" borderId="0" xfId="0" applyNumberFormat="1" applyFont="1" applyFill="1" applyBorder="1" applyAlignment="1">
      <alignment horizontal="center" vertical="center"/>
    </xf>
    <xf numFmtId="1" fontId="28" fillId="3" borderId="52" xfId="0" applyNumberFormat="1" applyFont="1" applyFill="1" applyBorder="1" applyAlignment="1" applyProtection="1">
      <alignment horizontal="center" vertical="center"/>
    </xf>
    <xf numFmtId="164" fontId="60" fillId="3" borderId="46" xfId="0" applyNumberFormat="1" applyFont="1" applyFill="1" applyBorder="1" applyAlignment="1" applyProtection="1">
      <alignment horizontal="center" vertical="justify" wrapText="1"/>
    </xf>
    <xf numFmtId="10" fontId="42" fillId="7" borderId="72" xfId="0" applyNumberFormat="1" applyFont="1" applyFill="1" applyBorder="1" applyAlignment="1" applyProtection="1">
      <alignment horizontal="center" vertical="center"/>
      <protection locked="0"/>
    </xf>
    <xf numFmtId="10" fontId="42" fillId="7" borderId="73" xfId="0" applyNumberFormat="1" applyFont="1" applyFill="1" applyBorder="1" applyAlignment="1" applyProtection="1">
      <alignment horizontal="center" vertical="center"/>
      <protection locked="0"/>
    </xf>
    <xf numFmtId="10" fontId="42" fillId="7" borderId="60" xfId="0" applyNumberFormat="1" applyFont="1" applyFill="1" applyBorder="1" applyAlignment="1" applyProtection="1">
      <alignment horizontal="center" vertical="center"/>
      <protection locked="0"/>
    </xf>
    <xf numFmtId="1" fontId="33" fillId="3" borderId="5" xfId="0" applyNumberFormat="1" applyFont="1" applyFill="1" applyBorder="1" applyAlignment="1" applyProtection="1">
      <alignment horizontal="center" vertical="center"/>
    </xf>
    <xf numFmtId="0" fontId="33" fillId="3" borderId="19" xfId="0" applyFont="1" applyFill="1" applyBorder="1" applyAlignment="1" applyProtection="1">
      <alignment horizontal="center" vertical="center"/>
    </xf>
    <xf numFmtId="10" fontId="42" fillId="3" borderId="9" xfId="0" applyNumberFormat="1" applyFont="1" applyFill="1" applyBorder="1" applyAlignment="1" applyProtection="1">
      <alignment horizontal="center" vertical="center"/>
    </xf>
    <xf numFmtId="10" fontId="60" fillId="3" borderId="39" xfId="0" applyNumberFormat="1" applyFont="1" applyFill="1" applyBorder="1" applyAlignment="1" applyProtection="1">
      <alignment horizontal="center" vertical="center"/>
    </xf>
    <xf numFmtId="10" fontId="60" fillId="3" borderId="38" xfId="0" applyNumberFormat="1" applyFont="1" applyFill="1" applyBorder="1" applyAlignment="1" applyProtection="1">
      <alignment horizontal="center" vertical="center"/>
    </xf>
    <xf numFmtId="10" fontId="42" fillId="3" borderId="17" xfId="0" applyNumberFormat="1" applyFont="1" applyFill="1" applyBorder="1" applyAlignment="1" applyProtection="1">
      <alignment horizontal="center" vertical="center"/>
    </xf>
    <xf numFmtId="0" fontId="58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50" fillId="17" borderId="9" xfId="0" applyFont="1" applyFill="1" applyBorder="1" applyAlignment="1" applyProtection="1">
      <alignment horizontal="center" vertical="center"/>
      <protection locked="0"/>
    </xf>
    <xf numFmtId="0" fontId="33" fillId="3" borderId="39" xfId="0" applyFont="1" applyFill="1" applyBorder="1" applyAlignment="1" applyProtection="1">
      <alignment horizontal="center" vertical="center" wrapText="1"/>
    </xf>
    <xf numFmtId="0" fontId="33" fillId="3" borderId="38" xfId="0" applyNumberFormat="1" applyFont="1" applyFill="1" applyBorder="1" applyAlignment="1" applyProtection="1">
      <alignment horizontal="center" vertical="center"/>
    </xf>
    <xf numFmtId="0" fontId="33" fillId="3" borderId="70" xfId="0" applyFont="1" applyFill="1" applyBorder="1" applyAlignment="1" applyProtection="1">
      <alignment horizontal="center" vertical="center" wrapText="1"/>
    </xf>
    <xf numFmtId="0" fontId="6" fillId="14" borderId="0" xfId="0" applyNumberFormat="1" applyFont="1" applyFill="1" applyBorder="1" applyAlignment="1" applyProtection="1">
      <alignment horizontal="center" vertical="justify" wrapText="1"/>
    </xf>
    <xf numFmtId="0" fontId="50" fillId="3" borderId="71" xfId="0" applyNumberFormat="1" applyFont="1" applyFill="1" applyBorder="1" applyAlignment="1" applyProtection="1">
      <alignment vertical="center"/>
      <protection locked="0"/>
    </xf>
    <xf numFmtId="2" fontId="14" fillId="14" borderId="13" xfId="0" applyNumberFormat="1" applyFont="1" applyFill="1" applyBorder="1" applyAlignment="1" applyProtection="1">
      <alignment horizontal="center" vertical="center"/>
    </xf>
    <xf numFmtId="2" fontId="14" fillId="14" borderId="4" xfId="0" applyNumberFormat="1" applyFont="1" applyFill="1" applyBorder="1" applyAlignment="1" applyProtection="1">
      <alignment horizontal="center" vertical="center"/>
    </xf>
    <xf numFmtId="2" fontId="14" fillId="14" borderId="11" xfId="0" applyNumberFormat="1" applyFont="1" applyFill="1" applyBorder="1" applyAlignment="1" applyProtection="1">
      <alignment horizontal="center" vertical="center"/>
    </xf>
    <xf numFmtId="0" fontId="14" fillId="2" borderId="62" xfId="0" applyNumberFormat="1" applyFont="1" applyFill="1" applyBorder="1" applyAlignment="1">
      <alignment horizontal="center" vertical="center"/>
    </xf>
    <xf numFmtId="49" fontId="50" fillId="3" borderId="48" xfId="0" applyNumberFormat="1" applyFont="1" applyFill="1" applyBorder="1" applyAlignment="1" applyProtection="1">
      <alignment horizontal="center" vertical="center"/>
      <protection locked="0"/>
    </xf>
    <xf numFmtId="49" fontId="14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15" borderId="6" xfId="0" applyNumberFormat="1" applyFont="1" applyFill="1" applyBorder="1" applyAlignment="1" applyProtection="1">
      <alignment horizontal="center"/>
    </xf>
    <xf numFmtId="164" fontId="42" fillId="3" borderId="2" xfId="0" applyNumberFormat="1" applyFont="1" applyFill="1" applyBorder="1" applyAlignment="1" applyProtection="1">
      <alignment horizontal="center" vertical="center"/>
    </xf>
    <xf numFmtId="0" fontId="2" fillId="15" borderId="0" xfId="0" applyFont="1" applyFill="1" applyAlignment="1" applyProtection="1">
      <alignment vertical="center"/>
    </xf>
    <xf numFmtId="1" fontId="2" fillId="3" borderId="0" xfId="0" applyNumberFormat="1" applyFont="1" applyFill="1" applyBorder="1"/>
    <xf numFmtId="0" fontId="2" fillId="3" borderId="0" xfId="0" applyFont="1" applyFill="1" applyBorder="1"/>
    <xf numFmtId="1" fontId="2" fillId="0" borderId="0" xfId="0" applyNumberFormat="1" applyFont="1" applyFill="1" applyBorder="1" applyAlignment="1" applyProtection="1">
      <alignment horizontal="center"/>
    </xf>
    <xf numFmtId="1" fontId="10" fillId="4" borderId="11" xfId="0" applyNumberFormat="1" applyFont="1" applyFill="1" applyBorder="1" applyAlignment="1" applyProtection="1">
      <alignment horizontal="center" vertical="center"/>
    </xf>
    <xf numFmtId="1" fontId="10" fillId="4" borderId="13" xfId="0" applyNumberFormat="1" applyFont="1" applyFill="1" applyBorder="1" applyAlignment="1" applyProtection="1">
      <alignment horizontal="center" vertical="justify" wrapText="1"/>
    </xf>
    <xf numFmtId="1" fontId="10" fillId="4" borderId="34" xfId="0" applyNumberFormat="1" applyFont="1" applyFill="1" applyBorder="1" applyAlignment="1" applyProtection="1">
      <alignment horizontal="center" vertical="justify" wrapText="1"/>
    </xf>
    <xf numFmtId="9" fontId="2" fillId="0" borderId="0" xfId="0" applyNumberFormat="1" applyFont="1" applyFill="1" applyBorder="1" applyAlignment="1" applyProtection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5" borderId="0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9" fontId="57" fillId="0" borderId="0" xfId="0" applyNumberFormat="1" applyFont="1" applyFill="1" applyBorder="1" applyAlignment="1">
      <alignment horizontal="center" vertical="center"/>
    </xf>
    <xf numFmtId="9" fontId="2" fillId="3" borderId="0" xfId="0" applyNumberFormat="1" applyFont="1" applyFill="1" applyBorder="1" applyAlignment="1">
      <alignment horizontal="center" vertical="center"/>
    </xf>
    <xf numFmtId="1" fontId="2" fillId="15" borderId="0" xfId="0" applyNumberFormat="1" applyFont="1" applyFill="1" applyAlignment="1" applyProtection="1">
      <alignment horizontal="center" vertical="center"/>
    </xf>
    <xf numFmtId="1" fontId="2" fillId="3" borderId="0" xfId="0" applyNumberFormat="1" applyFont="1" applyFill="1" applyBorder="1" applyAlignment="1" applyProtection="1">
      <alignment vertical="center"/>
    </xf>
    <xf numFmtId="164" fontId="28" fillId="3" borderId="52" xfId="0" applyNumberFormat="1" applyFont="1" applyFill="1" applyBorder="1" applyAlignment="1" applyProtection="1">
      <alignment horizontal="center" vertical="center"/>
    </xf>
    <xf numFmtId="164" fontId="28" fillId="3" borderId="26" xfId="0" applyNumberFormat="1" applyFont="1" applyFill="1" applyBorder="1" applyAlignment="1" applyProtection="1">
      <alignment horizontal="center" vertical="center"/>
    </xf>
    <xf numFmtId="1" fontId="60" fillId="3" borderId="0" xfId="0" applyNumberFormat="1" applyFont="1" applyFill="1" applyBorder="1" applyAlignment="1" applyProtection="1">
      <alignment vertical="center"/>
    </xf>
    <xf numFmtId="1" fontId="63" fillId="3" borderId="0" xfId="0" applyNumberFormat="1" applyFont="1" applyFill="1" applyBorder="1" applyAlignment="1" applyProtection="1">
      <alignment horizontal="center" vertical="center"/>
    </xf>
    <xf numFmtId="164" fontId="109" fillId="3" borderId="0" xfId="0" applyNumberFormat="1" applyFont="1" applyFill="1" applyBorder="1" applyAlignment="1" applyProtection="1">
      <alignment horizontal="center" vertical="center"/>
    </xf>
    <xf numFmtId="1" fontId="14" fillId="2" borderId="8" xfId="0" applyNumberFormat="1" applyFont="1" applyFill="1" applyBorder="1" applyAlignment="1" applyProtection="1">
      <alignment horizontal="center" vertical="center"/>
    </xf>
    <xf numFmtId="1" fontId="14" fillId="15" borderId="6" xfId="0" applyNumberFormat="1" applyFont="1" applyFill="1" applyBorder="1" applyAlignment="1" applyProtection="1">
      <alignment horizontal="center" vertical="center"/>
    </xf>
    <xf numFmtId="166" fontId="42" fillId="7" borderId="39" xfId="0" applyNumberFormat="1" applyFont="1" applyFill="1" applyBorder="1" applyAlignment="1" applyProtection="1">
      <alignment horizontal="center" vertical="center"/>
      <protection locked="0"/>
    </xf>
    <xf numFmtId="166" fontId="42" fillId="7" borderId="38" xfId="0" applyNumberFormat="1" applyFont="1" applyFill="1" applyBorder="1" applyAlignment="1" applyProtection="1">
      <alignment horizontal="center" vertical="center"/>
      <protection locked="0"/>
    </xf>
    <xf numFmtId="166" fontId="42" fillId="7" borderId="14" xfId="0" applyNumberFormat="1" applyFont="1" applyFill="1" applyBorder="1" applyAlignment="1" applyProtection="1">
      <alignment horizontal="center" vertical="center"/>
      <protection locked="0"/>
    </xf>
    <xf numFmtId="166" fontId="42" fillId="7" borderId="74" xfId="0" applyNumberFormat="1" applyFont="1" applyFill="1" applyBorder="1" applyAlignment="1" applyProtection="1">
      <alignment horizontal="center" vertical="center"/>
      <protection locked="0"/>
    </xf>
    <xf numFmtId="166" fontId="42" fillId="7" borderId="29" xfId="0" applyNumberFormat="1" applyFont="1" applyFill="1" applyBorder="1" applyAlignment="1" applyProtection="1">
      <alignment horizontal="center" vertical="center"/>
      <protection locked="0"/>
    </xf>
    <xf numFmtId="0" fontId="42" fillId="16" borderId="0" xfId="0" applyFont="1" applyFill="1" applyAlignment="1">
      <alignment vertical="center"/>
    </xf>
    <xf numFmtId="2" fontId="60" fillId="3" borderId="75" xfId="0" applyNumberFormat="1" applyFont="1" applyFill="1" applyBorder="1" applyAlignment="1">
      <alignment horizontal="center" vertical="center"/>
    </xf>
    <xf numFmtId="1" fontId="60" fillId="3" borderId="53" xfId="0" applyNumberFormat="1" applyFont="1" applyFill="1" applyBorder="1" applyAlignment="1">
      <alignment horizontal="center" vertical="center"/>
    </xf>
    <xf numFmtId="2" fontId="60" fillId="3" borderId="70" xfId="0" applyNumberFormat="1" applyFont="1" applyFill="1" applyBorder="1" applyAlignment="1">
      <alignment horizontal="center" vertical="center"/>
    </xf>
    <xf numFmtId="0" fontId="60" fillId="3" borderId="20" xfId="0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/>
    </xf>
    <xf numFmtId="164" fontId="33" fillId="3" borderId="28" xfId="0" applyNumberFormat="1" applyFont="1" applyFill="1" applyBorder="1" applyAlignment="1" applyProtection="1">
      <alignment horizontal="center" vertical="center"/>
    </xf>
    <xf numFmtId="2" fontId="110" fillId="14" borderId="0" xfId="0" applyNumberFormat="1" applyFont="1" applyFill="1" applyBorder="1" applyAlignment="1">
      <alignment horizontal="center" vertical="center"/>
    </xf>
    <xf numFmtId="164" fontId="110" fillId="14" borderId="0" xfId="0" applyNumberFormat="1" applyFont="1" applyFill="1" applyBorder="1" applyAlignment="1">
      <alignment horizontal="center" vertical="center"/>
    </xf>
    <xf numFmtId="1" fontId="110" fillId="14" borderId="0" xfId="0" applyNumberFormat="1" applyFont="1" applyFill="1" applyBorder="1" applyAlignment="1">
      <alignment horizontal="center" vertical="center"/>
    </xf>
    <xf numFmtId="9" fontId="110" fillId="14" borderId="0" xfId="0" applyNumberFormat="1" applyFont="1" applyFill="1" applyBorder="1" applyAlignment="1">
      <alignment horizontal="center" vertical="center"/>
    </xf>
    <xf numFmtId="2" fontId="2" fillId="14" borderId="0" xfId="0" applyNumberFormat="1" applyFont="1" applyFill="1" applyBorder="1" applyAlignment="1">
      <alignment horizontal="center" vertical="center"/>
    </xf>
    <xf numFmtId="164" fontId="2" fillId="14" borderId="0" xfId="0" applyNumberFormat="1" applyFont="1" applyFill="1" applyBorder="1" applyAlignment="1">
      <alignment horizontal="center" vertical="center"/>
    </xf>
    <xf numFmtId="1" fontId="2" fillId="14" borderId="0" xfId="0" applyNumberFormat="1" applyFont="1" applyFill="1" applyBorder="1" applyAlignment="1">
      <alignment horizontal="center" vertical="center"/>
    </xf>
    <xf numFmtId="164" fontId="2" fillId="14" borderId="0" xfId="0" applyNumberFormat="1" applyFont="1" applyFill="1" applyBorder="1" applyAlignment="1" applyProtection="1">
      <alignment horizontal="center" vertical="center"/>
    </xf>
    <xf numFmtId="9" fontId="2" fillId="14" borderId="0" xfId="0" applyNumberFormat="1" applyFont="1" applyFill="1" applyBorder="1" applyAlignment="1">
      <alignment horizontal="center" vertical="center"/>
    </xf>
    <xf numFmtId="0" fontId="2" fillId="14" borderId="0" xfId="0" applyNumberFormat="1" applyFont="1" applyFill="1" applyBorder="1" applyAlignment="1">
      <alignment vertical="center"/>
    </xf>
    <xf numFmtId="180" fontId="2" fillId="14" borderId="0" xfId="0" applyNumberFormat="1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49" fontId="2" fillId="14" borderId="0" xfId="0" applyNumberFormat="1" applyFont="1" applyFill="1" applyBorder="1" applyAlignment="1">
      <alignment horizontal="center" vertical="center"/>
    </xf>
    <xf numFmtId="164" fontId="17" fillId="14" borderId="0" xfId="0" applyNumberFormat="1" applyFont="1" applyFill="1" applyBorder="1" applyAlignment="1">
      <alignment horizontal="center" vertical="center"/>
    </xf>
    <xf numFmtId="164" fontId="2" fillId="14" borderId="4" xfId="0" applyNumberFormat="1" applyFont="1" applyFill="1" applyBorder="1" applyAlignment="1">
      <alignment horizontal="center" vertical="center"/>
    </xf>
    <xf numFmtId="0" fontId="57" fillId="0" borderId="0" xfId="0" applyNumberFormat="1" applyFont="1" applyBorder="1" applyAlignment="1" applyProtection="1">
      <alignment vertical="center"/>
    </xf>
    <xf numFmtId="164" fontId="8" fillId="2" borderId="0" xfId="0" applyNumberFormat="1" applyFont="1" applyFill="1" applyAlignment="1">
      <alignment horizontal="center"/>
    </xf>
    <xf numFmtId="164" fontId="6" fillId="14" borderId="0" xfId="0" applyNumberFormat="1" applyFont="1" applyFill="1" applyBorder="1" applyAlignment="1" applyProtection="1">
      <alignment horizontal="center" vertical="top" wrapText="1"/>
    </xf>
    <xf numFmtId="164" fontId="6" fillId="14" borderId="0" xfId="0" applyNumberFormat="1" applyFont="1" applyFill="1" applyBorder="1" applyAlignment="1" applyProtection="1">
      <alignment horizontal="center" vertical="center"/>
    </xf>
    <xf numFmtId="0" fontId="2" fillId="16" borderId="0" xfId="0" applyNumberFormat="1" applyFont="1" applyFill="1" applyBorder="1" applyAlignment="1">
      <alignment vertical="center"/>
    </xf>
    <xf numFmtId="0" fontId="2" fillId="16" borderId="0" xfId="0" applyFont="1" applyFill="1"/>
    <xf numFmtId="0" fontId="2" fillId="16" borderId="0" xfId="0" applyFont="1" applyFill="1" applyAlignment="1"/>
    <xf numFmtId="0" fontId="2" fillId="16" borderId="0" xfId="0" applyFont="1" applyFill="1" applyAlignment="1">
      <alignment horizontal="center"/>
    </xf>
    <xf numFmtId="49" fontId="2" fillId="16" borderId="0" xfId="0" applyNumberFormat="1" applyFont="1" applyFill="1" applyAlignment="1">
      <alignment horizontal="center"/>
    </xf>
    <xf numFmtId="1" fontId="2" fillId="16" borderId="0" xfId="0" applyNumberFormat="1" applyFont="1" applyFill="1" applyAlignment="1">
      <alignment horizontal="center"/>
    </xf>
    <xf numFmtId="2" fontId="2" fillId="16" borderId="0" xfId="0" applyNumberFormat="1" applyFont="1" applyFill="1" applyAlignment="1">
      <alignment horizontal="center"/>
    </xf>
    <xf numFmtId="164" fontId="2" fillId="16" borderId="0" xfId="0" applyNumberFormat="1" applyFont="1" applyFill="1" applyAlignment="1">
      <alignment horizontal="center"/>
    </xf>
    <xf numFmtId="164" fontId="17" fillId="16" borderId="0" xfId="0" applyNumberFormat="1" applyFont="1" applyFill="1" applyAlignment="1">
      <alignment horizontal="center"/>
    </xf>
    <xf numFmtId="0" fontId="17" fillId="16" borderId="0" xfId="0" applyFont="1" applyFill="1"/>
    <xf numFmtId="2" fontId="2" fillId="16" borderId="0" xfId="0" applyNumberFormat="1" applyFont="1" applyFill="1"/>
    <xf numFmtId="1" fontId="2" fillId="16" borderId="0" xfId="0" applyNumberFormat="1" applyFont="1" applyFill="1"/>
    <xf numFmtId="0" fontId="2" fillId="16" borderId="0" xfId="0" applyFont="1" applyFill="1" applyBorder="1"/>
    <xf numFmtId="0" fontId="1" fillId="0" borderId="8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justify" wrapText="1"/>
    </xf>
    <xf numFmtId="0" fontId="10" fillId="4" borderId="76" xfId="0" applyFont="1" applyFill="1" applyBorder="1" applyAlignment="1">
      <alignment horizontal="center" vertical="justify" wrapText="1"/>
    </xf>
    <xf numFmtId="49" fontId="15" fillId="4" borderId="49" xfId="0" applyNumberFormat="1" applyFont="1" applyFill="1" applyBorder="1" applyAlignment="1">
      <alignment horizontal="center" vertical="justify" wrapText="1"/>
    </xf>
    <xf numFmtId="1" fontId="15" fillId="4" borderId="49" xfId="0" applyNumberFormat="1" applyFont="1" applyFill="1" applyBorder="1" applyAlignment="1">
      <alignment horizontal="center" vertical="justify" wrapText="1"/>
    </xf>
    <xf numFmtId="164" fontId="15" fillId="4" borderId="49" xfId="0" applyNumberFormat="1" applyFont="1" applyFill="1" applyBorder="1" applyAlignment="1">
      <alignment horizontal="center" vertical="justify" wrapText="1"/>
    </xf>
    <xf numFmtId="164" fontId="26" fillId="4" borderId="49" xfId="0" applyNumberFormat="1" applyFont="1" applyFill="1" applyBorder="1" applyAlignment="1">
      <alignment horizontal="center" vertical="justify" wrapText="1"/>
    </xf>
    <xf numFmtId="44" fontId="15" fillId="4" borderId="50" xfId="6" applyFont="1" applyFill="1" applyBorder="1" applyAlignment="1">
      <alignment horizontal="center" vertical="top" wrapText="1"/>
    </xf>
    <xf numFmtId="0" fontId="15" fillId="4" borderId="69" xfId="0" applyFont="1" applyFill="1" applyBorder="1" applyAlignment="1">
      <alignment vertical="center"/>
    </xf>
    <xf numFmtId="44" fontId="16" fillId="4" borderId="51" xfId="6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vertical="center"/>
    </xf>
    <xf numFmtId="44" fontId="2" fillId="3" borderId="61" xfId="6" applyFont="1" applyFill="1" applyBorder="1" applyAlignment="1">
      <alignment horizontal="center" vertical="center"/>
    </xf>
    <xf numFmtId="44" fontId="2" fillId="3" borderId="24" xfId="6" applyFont="1" applyFill="1" applyBorder="1" applyAlignment="1">
      <alignment horizontal="center" vertical="center"/>
    </xf>
    <xf numFmtId="44" fontId="3" fillId="0" borderId="61" xfId="6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44" fontId="3" fillId="7" borderId="77" xfId="6" applyFont="1" applyFill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8" fillId="16" borderId="0" xfId="0" applyFont="1" applyFill="1"/>
    <xf numFmtId="0" fontId="0" fillId="16" borderId="0" xfId="0" applyFill="1"/>
    <xf numFmtId="0" fontId="0" fillId="16" borderId="0" xfId="0" applyFill="1" applyBorder="1"/>
    <xf numFmtId="0" fontId="10" fillId="0" borderId="41" xfId="0" applyFont="1" applyBorder="1" applyAlignment="1">
      <alignment vertical="center"/>
    </xf>
    <xf numFmtId="0" fontId="2" fillId="14" borderId="41" xfId="0" applyFont="1" applyFill="1" applyBorder="1" applyAlignment="1">
      <alignment vertical="center"/>
    </xf>
    <xf numFmtId="164" fontId="2" fillId="14" borderId="10" xfId="0" applyNumberFormat="1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1" fontId="2" fillId="14" borderId="10" xfId="0" applyNumberFormat="1" applyFont="1" applyFill="1" applyBorder="1" applyAlignment="1">
      <alignment horizontal="center" vertical="center"/>
    </xf>
    <xf numFmtId="164" fontId="10" fillId="14" borderId="10" xfId="0" applyNumberFormat="1" applyFont="1" applyFill="1" applyBorder="1" applyAlignment="1">
      <alignment horizontal="center" vertical="center"/>
    </xf>
    <xf numFmtId="44" fontId="2" fillId="14" borderId="8" xfId="6" applyFont="1" applyFill="1" applyBorder="1" applyAlignment="1" applyProtection="1">
      <alignment horizontal="center"/>
      <protection locked="0"/>
    </xf>
    <xf numFmtId="44" fontId="2" fillId="14" borderId="8" xfId="6" applyFont="1" applyFill="1" applyBorder="1" applyAlignment="1" applyProtection="1">
      <alignment horizontal="center" vertical="center"/>
      <protection locked="0"/>
    </xf>
    <xf numFmtId="164" fontId="42" fillId="16" borderId="64" xfId="0" applyNumberFormat="1" applyFont="1" applyFill="1" applyBorder="1" applyAlignment="1" applyProtection="1">
      <alignment horizontal="center" vertical="center"/>
    </xf>
    <xf numFmtId="164" fontId="42" fillId="16" borderId="73" xfId="0" applyNumberFormat="1" applyFont="1" applyFill="1" applyBorder="1" applyAlignment="1" applyProtection="1">
      <alignment horizontal="center" vertical="center"/>
    </xf>
    <xf numFmtId="1" fontId="42" fillId="3" borderId="40" xfId="0" applyNumberFormat="1" applyFont="1" applyFill="1" applyBorder="1" applyAlignment="1" applyProtection="1">
      <alignment horizontal="center" vertical="center"/>
    </xf>
    <xf numFmtId="1" fontId="42" fillId="3" borderId="41" xfId="0" applyNumberFormat="1" applyFont="1" applyFill="1" applyBorder="1" applyAlignment="1" applyProtection="1">
      <alignment horizontal="center" vertical="center"/>
    </xf>
    <xf numFmtId="1" fontId="42" fillId="3" borderId="68" xfId="0" applyNumberFormat="1" applyFont="1" applyFill="1" applyBorder="1" applyAlignment="1" applyProtection="1">
      <alignment horizontal="center" vertical="center"/>
    </xf>
    <xf numFmtId="0" fontId="28" fillId="3" borderId="29" xfId="0" applyFont="1" applyFill="1" applyBorder="1" applyAlignment="1" applyProtection="1">
      <alignment horizontal="center" vertical="center"/>
    </xf>
    <xf numFmtId="1" fontId="28" fillId="7" borderId="26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/>
    <xf numFmtId="10" fontId="28" fillId="7" borderId="64" xfId="0" applyNumberFormat="1" applyFont="1" applyFill="1" applyBorder="1" applyAlignment="1" applyProtection="1">
      <alignment horizontal="center" vertical="center"/>
      <protection locked="0"/>
    </xf>
    <xf numFmtId="166" fontId="42" fillId="3" borderId="55" xfId="0" applyNumberFormat="1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justify" wrapText="1"/>
    </xf>
    <xf numFmtId="0" fontId="10" fillId="4" borderId="13" xfId="0" applyFont="1" applyFill="1" applyBorder="1" applyAlignment="1" applyProtection="1">
      <alignment horizontal="center" vertical="justify" wrapText="1"/>
    </xf>
    <xf numFmtId="49" fontId="10" fillId="4" borderId="34" xfId="0" applyNumberFormat="1" applyFont="1" applyFill="1" applyBorder="1" applyAlignment="1" applyProtection="1">
      <alignment horizontal="center" vertical="top" wrapText="1"/>
    </xf>
    <xf numFmtId="2" fontId="10" fillId="4" borderId="34" xfId="0" applyNumberFormat="1" applyFont="1" applyFill="1" applyBorder="1" applyAlignment="1" applyProtection="1">
      <alignment horizontal="center" vertical="justify" wrapText="1"/>
    </xf>
    <xf numFmtId="164" fontId="10" fillId="4" borderId="34" xfId="0" applyNumberFormat="1" applyFont="1" applyFill="1" applyBorder="1" applyAlignment="1" applyProtection="1">
      <alignment horizontal="center" vertical="justify" wrapText="1"/>
    </xf>
    <xf numFmtId="164" fontId="10" fillId="4" borderId="16" xfId="0" applyNumberFormat="1" applyFont="1" applyFill="1" applyBorder="1" applyAlignment="1" applyProtection="1">
      <alignment horizontal="center" vertical="justify" wrapText="1"/>
    </xf>
    <xf numFmtId="1" fontId="10" fillId="4" borderId="34" xfId="0" applyNumberFormat="1" applyFont="1" applyFill="1" applyBorder="1" applyAlignment="1" applyProtection="1">
      <alignment horizontal="center" vertical="top" wrapText="1"/>
    </xf>
    <xf numFmtId="0" fontId="10" fillId="4" borderId="3" xfId="0" applyFont="1" applyFill="1" applyBorder="1" applyAlignment="1" applyProtection="1">
      <alignment vertical="center"/>
    </xf>
    <xf numFmtId="0" fontId="10" fillId="4" borderId="11" xfId="0" applyFont="1" applyFill="1" applyBorder="1" applyAlignment="1" applyProtection="1">
      <alignment vertical="center"/>
    </xf>
    <xf numFmtId="49" fontId="10" fillId="4" borderId="1" xfId="0" applyNumberFormat="1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</xf>
    <xf numFmtId="164" fontId="10" fillId="4" borderId="12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52" fillId="3" borderId="0" xfId="0" applyFont="1" applyFill="1" applyBorder="1" applyAlignment="1" applyProtection="1">
      <alignment vertical="center"/>
    </xf>
    <xf numFmtId="0" fontId="65" fillId="3" borderId="0" xfId="0" applyFont="1" applyFill="1" applyBorder="1" applyAlignment="1" applyProtection="1">
      <alignment vertical="center"/>
    </xf>
    <xf numFmtId="0" fontId="10" fillId="3" borderId="0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11" fillId="16" borderId="0" xfId="0" applyNumberFormat="1" applyFont="1" applyFill="1" applyBorder="1" applyAlignment="1">
      <alignment vertical="center"/>
    </xf>
    <xf numFmtId="0" fontId="111" fillId="3" borderId="0" xfId="0" applyFont="1" applyFill="1"/>
    <xf numFmtId="0" fontId="111" fillId="0" borderId="0" xfId="0" applyFont="1"/>
    <xf numFmtId="0" fontId="111" fillId="3" borderId="0" xfId="0" applyFont="1" applyFill="1" applyAlignment="1"/>
    <xf numFmtId="0" fontId="111" fillId="3" borderId="0" xfId="0" applyFont="1" applyFill="1" applyAlignment="1">
      <alignment horizontal="center"/>
    </xf>
    <xf numFmtId="49" fontId="111" fillId="3" borderId="0" xfId="0" applyNumberFormat="1" applyFont="1" applyFill="1" applyAlignment="1">
      <alignment horizontal="center"/>
    </xf>
    <xf numFmtId="1" fontId="111" fillId="3" borderId="0" xfId="0" applyNumberFormat="1" applyFont="1" applyFill="1" applyAlignment="1">
      <alignment horizontal="center"/>
    </xf>
    <xf numFmtId="2" fontId="111" fillId="3" borderId="0" xfId="0" applyNumberFormat="1" applyFont="1" applyFill="1" applyAlignment="1">
      <alignment horizontal="center"/>
    </xf>
    <xf numFmtId="164" fontId="111" fillId="3" borderId="0" xfId="0" applyNumberFormat="1" applyFont="1" applyFill="1" applyAlignment="1">
      <alignment horizontal="center"/>
    </xf>
    <xf numFmtId="164" fontId="112" fillId="3" borderId="0" xfId="0" applyNumberFormat="1" applyFont="1" applyFill="1" applyAlignment="1">
      <alignment horizontal="center"/>
    </xf>
    <xf numFmtId="0" fontId="112" fillId="3" borderId="0" xfId="0" applyFont="1" applyFill="1"/>
    <xf numFmtId="2" fontId="111" fillId="3" borderId="0" xfId="0" applyNumberFormat="1" applyFont="1" applyFill="1"/>
    <xf numFmtId="1" fontId="111" fillId="3" borderId="0" xfId="0" applyNumberFormat="1" applyFont="1" applyFill="1"/>
    <xf numFmtId="0" fontId="111" fillId="3" borderId="0" xfId="0" applyFont="1" applyFill="1" applyBorder="1"/>
    <xf numFmtId="0" fontId="113" fillId="3" borderId="0" xfId="0" applyFont="1" applyFill="1"/>
    <xf numFmtId="0" fontId="84" fillId="3" borderId="0" xfId="0" applyFont="1" applyFill="1" applyBorder="1" applyAlignment="1" applyProtection="1">
      <alignment vertical="center"/>
    </xf>
    <xf numFmtId="0" fontId="85" fillId="3" borderId="0" xfId="0" applyFont="1" applyFill="1" applyAlignment="1">
      <alignment horizontal="right" vertical="top"/>
    </xf>
    <xf numFmtId="0" fontId="14" fillId="15" borderId="15" xfId="0" applyNumberFormat="1" applyFont="1" applyFill="1" applyBorder="1" applyAlignment="1" applyProtection="1">
      <alignment horizontal="center"/>
    </xf>
    <xf numFmtId="2" fontId="2" fillId="15" borderId="6" xfId="0" applyNumberFormat="1" applyFont="1" applyFill="1" applyBorder="1" applyAlignment="1" applyProtection="1">
      <alignment horizontal="center" vertical="center"/>
      <protection locked="0"/>
    </xf>
    <xf numFmtId="2" fontId="2" fillId="16" borderId="0" xfId="0" applyNumberFormat="1" applyFont="1" applyFill="1" applyBorder="1" applyAlignment="1">
      <alignment horizontal="center" vertical="center"/>
    </xf>
    <xf numFmtId="0" fontId="42" fillId="14" borderId="0" xfId="0" applyFont="1" applyFill="1"/>
    <xf numFmtId="0" fontId="0" fillId="14" borderId="0" xfId="0" applyFill="1"/>
    <xf numFmtId="49" fontId="1" fillId="3" borderId="0" xfId="0" applyNumberFormat="1" applyFont="1" applyFill="1" applyBorder="1" applyAlignment="1">
      <alignment horizontal="center"/>
    </xf>
    <xf numFmtId="0" fontId="3" fillId="14" borderId="0" xfId="0" applyFont="1" applyFill="1"/>
    <xf numFmtId="0" fontId="3" fillId="14" borderId="0" xfId="0" applyFont="1" applyFill="1" applyAlignment="1">
      <alignment horizontal="center"/>
    </xf>
    <xf numFmtId="165" fontId="3" fillId="14" borderId="0" xfId="0" applyNumberFormat="1" applyFont="1" applyFill="1" applyAlignment="1">
      <alignment horizontal="center"/>
    </xf>
    <xf numFmtId="2" fontId="0" fillId="14" borderId="0" xfId="0" applyNumberFormat="1" applyFill="1"/>
    <xf numFmtId="0" fontId="3" fillId="14" borderId="0" xfId="0" applyFont="1" applyFill="1" applyAlignment="1">
      <alignment vertical="center"/>
    </xf>
    <xf numFmtId="1" fontId="0" fillId="14" borderId="0" xfId="0" applyNumberFormat="1" applyFill="1" applyAlignment="1">
      <alignment horizontal="center" vertical="center"/>
    </xf>
    <xf numFmtId="165" fontId="0" fillId="14" borderId="0" xfId="0" applyNumberFormat="1" applyFill="1"/>
    <xf numFmtId="165" fontId="0" fillId="14" borderId="0" xfId="0" applyNumberFormat="1" applyFill="1" applyAlignment="1">
      <alignment horizontal="right"/>
    </xf>
    <xf numFmtId="1" fontId="0" fillId="14" borderId="0" xfId="0" applyNumberFormat="1" applyFill="1" applyAlignment="1">
      <alignment horizontal="left" vertical="center"/>
    </xf>
    <xf numFmtId="1" fontId="3" fillId="14" borderId="0" xfId="0" applyNumberFormat="1" applyFont="1" applyFill="1" applyAlignment="1">
      <alignment horizontal="center" vertical="center"/>
    </xf>
    <xf numFmtId="165" fontId="0" fillId="14" borderId="0" xfId="0" applyNumberFormat="1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164" fontId="0" fillId="14" borderId="0" xfId="0" applyNumberFormat="1" applyFill="1" applyAlignment="1">
      <alignment horizontal="center" vertical="center"/>
    </xf>
    <xf numFmtId="165" fontId="0" fillId="14" borderId="0" xfId="0" applyNumberFormat="1" applyFill="1" applyBorder="1" applyAlignment="1">
      <alignment horizontal="center"/>
    </xf>
    <xf numFmtId="0" fontId="108" fillId="14" borderId="0" xfId="0" applyNumberFormat="1" applyFont="1" applyFill="1"/>
    <xf numFmtId="0" fontId="114" fillId="14" borderId="0" xfId="0" applyNumberFormat="1" applyFont="1" applyFill="1" applyBorder="1" applyAlignment="1">
      <alignment horizontal="center" vertical="center"/>
    </xf>
    <xf numFmtId="0" fontId="108" fillId="14" borderId="0" xfId="0" applyNumberFormat="1" applyFont="1" applyFill="1" applyBorder="1" applyAlignment="1" applyProtection="1">
      <alignment vertical="center"/>
      <protection locked="0"/>
    </xf>
    <xf numFmtId="0" fontId="115" fillId="14" borderId="0" xfId="0" applyNumberFormat="1" applyFont="1" applyFill="1" applyBorder="1" applyAlignment="1" applyProtection="1">
      <alignment horizontal="center" vertical="center"/>
      <protection locked="0"/>
    </xf>
    <xf numFmtId="1" fontId="115" fillId="14" borderId="0" xfId="0" applyNumberFormat="1" applyFont="1" applyFill="1" applyBorder="1" applyAlignment="1" applyProtection="1">
      <alignment horizontal="center" vertical="center"/>
    </xf>
    <xf numFmtId="0" fontId="115" fillId="14" borderId="0" xfId="0" applyNumberFormat="1" applyFont="1" applyFill="1" applyBorder="1" applyAlignment="1" applyProtection="1">
      <alignment horizontal="center" vertical="center"/>
    </xf>
    <xf numFmtId="164" fontId="115" fillId="14" borderId="0" xfId="0" applyNumberFormat="1" applyFont="1" applyFill="1" applyBorder="1" applyAlignment="1" applyProtection="1">
      <alignment horizontal="center" vertical="center"/>
    </xf>
    <xf numFmtId="49" fontId="108" fillId="14" borderId="0" xfId="0" applyNumberFormat="1" applyFont="1" applyFill="1" applyBorder="1" applyAlignment="1" applyProtection="1">
      <alignment vertical="center"/>
      <protection locked="0"/>
    </xf>
    <xf numFmtId="0" fontId="115" fillId="14" borderId="0" xfId="0" applyNumberFormat="1" applyFont="1" applyFill="1" applyBorder="1" applyAlignment="1" applyProtection="1">
      <alignment horizontal="center"/>
    </xf>
    <xf numFmtId="0" fontId="115" fillId="14" borderId="0" xfId="0" applyNumberFormat="1" applyFont="1" applyFill="1" applyBorder="1" applyAlignment="1" applyProtection="1">
      <alignment horizontal="center"/>
      <protection locked="0"/>
    </xf>
    <xf numFmtId="0" fontId="14" fillId="3" borderId="28" xfId="0" applyNumberFormat="1" applyFont="1" applyFill="1" applyBorder="1" applyAlignment="1" applyProtection="1">
      <alignment horizontal="centerContinuous" vertical="center"/>
      <protection locked="0"/>
    </xf>
    <xf numFmtId="49" fontId="14" fillId="3" borderId="23" xfId="0" applyNumberFormat="1" applyFont="1" applyFill="1" applyBorder="1" applyAlignment="1" applyProtection="1">
      <alignment horizontal="center" vertical="center"/>
      <protection locked="0"/>
    </xf>
    <xf numFmtId="165" fontId="0" fillId="18" borderId="39" xfId="0" applyNumberFormat="1" applyFill="1" applyBorder="1" applyAlignment="1" applyProtection="1">
      <alignment horizontal="center"/>
      <protection locked="0"/>
    </xf>
    <xf numFmtId="165" fontId="0" fillId="18" borderId="37" xfId="0" applyNumberFormat="1" applyFill="1" applyBorder="1" applyAlignment="1" applyProtection="1">
      <alignment horizontal="center"/>
      <protection locked="0"/>
    </xf>
    <xf numFmtId="165" fontId="0" fillId="18" borderId="38" xfId="0" applyNumberFormat="1" applyFill="1" applyBorder="1" applyAlignment="1" applyProtection="1">
      <alignment horizontal="center"/>
      <protection locked="0"/>
    </xf>
    <xf numFmtId="165" fontId="0" fillId="19" borderId="56" xfId="0" applyNumberFormat="1" applyFill="1" applyBorder="1" applyAlignment="1">
      <alignment horizontal="right"/>
    </xf>
    <xf numFmtId="1" fontId="3" fillId="19" borderId="19" xfId="0" applyNumberFormat="1" applyFont="1" applyFill="1" applyBorder="1" applyAlignment="1">
      <alignment horizontal="center"/>
    </xf>
    <xf numFmtId="2" fontId="3" fillId="19" borderId="42" xfId="0" applyNumberFormat="1" applyFont="1" applyFill="1" applyBorder="1"/>
    <xf numFmtId="164" fontId="3" fillId="19" borderId="19" xfId="0" applyNumberFormat="1" applyFont="1" applyFill="1" applyBorder="1" applyAlignment="1">
      <alignment horizontal="center"/>
    </xf>
    <xf numFmtId="49" fontId="59" fillId="17" borderId="9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/>
    <xf numFmtId="0" fontId="13" fillId="3" borderId="10" xfId="0" applyFont="1" applyFill="1" applyBorder="1"/>
    <xf numFmtId="0" fontId="20" fillId="3" borderId="10" xfId="0" applyFont="1" applyFill="1" applyBorder="1"/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center"/>
    </xf>
    <xf numFmtId="49" fontId="0" fillId="2" borderId="63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6" fillId="2" borderId="63" xfId="0" applyFont="1" applyFill="1" applyBorder="1"/>
    <xf numFmtId="1" fontId="0" fillId="3" borderId="2" xfId="0" applyNumberFormat="1" applyFill="1" applyBorder="1" applyAlignment="1" applyProtection="1">
      <alignment horizontal="center"/>
      <protection locked="0"/>
    </xf>
    <xf numFmtId="177" fontId="6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177" fontId="3" fillId="2" borderId="0" xfId="0" applyNumberFormat="1" applyFont="1" applyFill="1"/>
    <xf numFmtId="0" fontId="1" fillId="2" borderId="0" xfId="0" applyFont="1" applyFill="1"/>
    <xf numFmtId="0" fontId="1" fillId="2" borderId="63" xfId="0" applyFont="1" applyFill="1" applyBorder="1"/>
    <xf numFmtId="0" fontId="90" fillId="2" borderId="0" xfId="0" applyFont="1" applyFill="1" applyAlignment="1">
      <alignment horizontal="center" vertical="center"/>
    </xf>
    <xf numFmtId="0" fontId="82" fillId="0" borderId="0" xfId="0" applyNumberFormat="1" applyFont="1" applyBorder="1" applyAlignment="1">
      <alignment vertical="center"/>
    </xf>
    <xf numFmtId="0" fontId="10" fillId="4" borderId="34" xfId="0" applyFont="1" applyFill="1" applyBorder="1" applyAlignment="1" applyProtection="1">
      <alignment horizontal="center" vertical="justify" wrapText="1"/>
    </xf>
    <xf numFmtId="0" fontId="1" fillId="3" borderId="10" xfId="0" applyFont="1" applyFill="1" applyBorder="1"/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3" fillId="9" borderId="34" xfId="0" applyFont="1" applyFill="1" applyBorder="1" applyAlignment="1" applyProtection="1">
      <alignment horizontal="center"/>
    </xf>
    <xf numFmtId="0" fontId="28" fillId="9" borderId="8" xfId="0" applyFont="1" applyFill="1" applyBorder="1" applyAlignment="1" applyProtection="1">
      <alignment horizontal="center"/>
    </xf>
    <xf numFmtId="0" fontId="27" fillId="9" borderId="8" xfId="0" applyFont="1" applyFill="1" applyBorder="1" applyAlignment="1" applyProtection="1">
      <alignment horizontal="center"/>
    </xf>
    <xf numFmtId="0" fontId="33" fillId="9" borderId="1" xfId="0" applyFont="1" applyFill="1" applyBorder="1" applyAlignment="1" applyProtection="1">
      <alignment horizontal="center"/>
    </xf>
    <xf numFmtId="1" fontId="33" fillId="12" borderId="34" xfId="0" applyNumberFormat="1" applyFont="1" applyFill="1" applyBorder="1" applyAlignment="1" applyProtection="1">
      <alignment horizontal="center" vertical="center"/>
    </xf>
    <xf numFmtId="0" fontId="33" fillId="8" borderId="34" xfId="0" applyFont="1" applyFill="1" applyBorder="1" applyAlignment="1" applyProtection="1">
      <alignment horizontal="center"/>
    </xf>
    <xf numFmtId="0" fontId="27" fillId="8" borderId="8" xfId="0" applyFont="1" applyFill="1" applyBorder="1" applyAlignment="1" applyProtection="1">
      <alignment horizontal="center"/>
    </xf>
    <xf numFmtId="0" fontId="28" fillId="8" borderId="1" xfId="0" applyFont="1" applyFill="1" applyBorder="1" applyAlignment="1" applyProtection="1">
      <alignment horizontal="center"/>
    </xf>
    <xf numFmtId="0" fontId="28" fillId="2" borderId="34" xfId="0" applyFont="1" applyFill="1" applyBorder="1" applyAlignment="1" applyProtection="1">
      <alignment horizontal="center"/>
    </xf>
    <xf numFmtId="0" fontId="28" fillId="2" borderId="8" xfId="0" applyFont="1" applyFill="1" applyBorder="1" applyAlignment="1" applyProtection="1">
      <alignment horizontal="center"/>
    </xf>
    <xf numFmtId="0" fontId="33" fillId="2" borderId="8" xfId="0" applyFont="1" applyFill="1" applyBorder="1" applyAlignment="1" applyProtection="1">
      <alignment horizontal="center"/>
    </xf>
    <xf numFmtId="0" fontId="33" fillId="4" borderId="34" xfId="0" applyFont="1" applyFill="1" applyBorder="1" applyAlignment="1" applyProtection="1">
      <alignment horizontal="center"/>
    </xf>
    <xf numFmtId="1" fontId="28" fillId="4" borderId="8" xfId="0" applyNumberFormat="1" applyFont="1" applyFill="1" applyBorder="1" applyAlignment="1" applyProtection="1">
      <alignment horizontal="center"/>
    </xf>
    <xf numFmtId="0" fontId="28" fillId="7" borderId="34" xfId="0" applyFont="1" applyFill="1" applyBorder="1" applyAlignment="1" applyProtection="1">
      <alignment horizontal="center"/>
    </xf>
    <xf numFmtId="0" fontId="33" fillId="7" borderId="1" xfId="0" applyFont="1" applyFill="1" applyBorder="1" applyAlignment="1" applyProtection="1">
      <alignment horizontal="center"/>
    </xf>
    <xf numFmtId="0" fontId="40" fillId="6" borderId="6" xfId="0" applyFont="1" applyFill="1" applyBorder="1" applyAlignment="1" applyProtection="1">
      <alignment horizontal="center"/>
    </xf>
    <xf numFmtId="164" fontId="14" fillId="2" borderId="4" xfId="0" applyNumberFormat="1" applyFont="1" applyFill="1" applyBorder="1" applyAlignment="1" applyProtection="1">
      <alignment horizontal="center" vertical="center"/>
    </xf>
    <xf numFmtId="0" fontId="1" fillId="14" borderId="16" xfId="0" applyFont="1" applyFill="1" applyBorder="1" applyAlignment="1">
      <alignment horizontal="center" wrapText="1"/>
    </xf>
    <xf numFmtId="0" fontId="1" fillId="14" borderId="18" xfId="0" applyFont="1" applyFill="1" applyBorder="1" applyAlignment="1">
      <alignment horizontal="center" wrapText="1"/>
    </xf>
    <xf numFmtId="0" fontId="1" fillId="14" borderId="13" xfId="0" applyFont="1" applyFill="1" applyBorder="1" applyAlignment="1">
      <alignment horizontal="center" wrapText="1"/>
    </xf>
    <xf numFmtId="1" fontId="14" fillId="2" borderId="4" xfId="0" applyNumberFormat="1" applyFont="1" applyFill="1" applyBorder="1" applyAlignment="1">
      <alignment horizontal="center" vertical="center"/>
    </xf>
    <xf numFmtId="0" fontId="109" fillId="6" borderId="16" xfId="0" applyFont="1" applyFill="1" applyBorder="1" applyAlignment="1">
      <alignment horizontal="center"/>
    </xf>
    <xf numFmtId="1" fontId="116" fillId="6" borderId="18" xfId="0" applyNumberFormat="1" applyFont="1" applyFill="1" applyBorder="1" applyAlignment="1">
      <alignment horizontal="center"/>
    </xf>
    <xf numFmtId="0" fontId="109" fillId="6" borderId="10" xfId="0" applyFont="1" applyFill="1" applyBorder="1" applyAlignment="1">
      <alignment horizontal="center"/>
    </xf>
    <xf numFmtId="1" fontId="109" fillId="6" borderId="0" xfId="0" applyNumberFormat="1" applyFont="1" applyFill="1" applyBorder="1" applyAlignment="1">
      <alignment horizontal="center"/>
    </xf>
    <xf numFmtId="0" fontId="109" fillId="6" borderId="12" xfId="0" applyFont="1" applyFill="1" applyBorder="1" applyAlignment="1">
      <alignment horizontal="center"/>
    </xf>
    <xf numFmtId="1" fontId="109" fillId="6" borderId="3" xfId="0" applyNumberFormat="1" applyFont="1" applyFill="1" applyBorder="1" applyAlignment="1">
      <alignment horizontal="center"/>
    </xf>
    <xf numFmtId="164" fontId="42" fillId="16" borderId="9" xfId="0" applyNumberFormat="1" applyFont="1" applyFill="1" applyBorder="1" applyAlignment="1" applyProtection="1">
      <alignment horizontal="center" vertical="center"/>
    </xf>
    <xf numFmtId="166" fontId="28" fillId="7" borderId="70" xfId="0" applyNumberFormat="1" applyFont="1" applyFill="1" applyBorder="1" applyAlignment="1" applyProtection="1">
      <alignment horizontal="center" vertical="center"/>
      <protection locked="0"/>
    </xf>
    <xf numFmtId="10" fontId="28" fillId="7" borderId="20" xfId="0" applyNumberFormat="1" applyFont="1" applyFill="1" applyBorder="1" applyAlignment="1" applyProtection="1">
      <alignment horizontal="center" vertical="center"/>
      <protection locked="0"/>
    </xf>
    <xf numFmtId="164" fontId="28" fillId="16" borderId="9" xfId="0" applyNumberFormat="1" applyFont="1" applyFill="1" applyBorder="1" applyAlignment="1" applyProtection="1">
      <alignment horizontal="center" vertical="center"/>
    </xf>
    <xf numFmtId="0" fontId="28" fillId="3" borderId="21" xfId="0" applyFont="1" applyFill="1" applyBorder="1" applyAlignment="1" applyProtection="1">
      <alignment horizontal="center" vertical="center"/>
    </xf>
    <xf numFmtId="1" fontId="28" fillId="7" borderId="22" xfId="0" applyNumberFormat="1" applyFont="1" applyFill="1" applyBorder="1" applyAlignment="1" applyProtection="1">
      <alignment horizontal="center" vertical="center"/>
      <protection locked="0"/>
    </xf>
    <xf numFmtId="164" fontId="50" fillId="4" borderId="6" xfId="0" applyNumberFormat="1" applyFont="1" applyFill="1" applyBorder="1" applyAlignment="1" applyProtection="1">
      <alignment horizontal="center" vertical="center"/>
      <protection locked="0"/>
    </xf>
    <xf numFmtId="1" fontId="14" fillId="4" borderId="6" xfId="0" applyNumberFormat="1" applyFont="1" applyFill="1" applyBorder="1" applyAlignment="1" applyProtection="1">
      <alignment horizontal="center" vertical="center"/>
      <protection locked="0"/>
    </xf>
    <xf numFmtId="1" fontId="14" fillId="4" borderId="28" xfId="0" applyNumberFormat="1" applyFont="1" applyFill="1" applyBorder="1" applyAlignment="1" applyProtection="1">
      <alignment horizontal="center" vertical="center"/>
      <protection locked="0"/>
    </xf>
    <xf numFmtId="0" fontId="14" fillId="16" borderId="6" xfId="0" applyNumberFormat="1" applyFont="1" applyFill="1" applyBorder="1" applyAlignment="1" applyProtection="1">
      <alignment horizontal="center"/>
      <protection locked="0"/>
    </xf>
    <xf numFmtId="164" fontId="50" fillId="3" borderId="6" xfId="0" applyNumberFormat="1" applyFont="1" applyFill="1" applyBorder="1" applyAlignment="1" applyProtection="1">
      <alignment horizontal="center" vertical="center"/>
      <protection locked="0"/>
    </xf>
    <xf numFmtId="1" fontId="14" fillId="2" borderId="13" xfId="0" applyNumberFormat="1" applyFont="1" applyFill="1" applyBorder="1" applyAlignment="1">
      <alignment horizontal="center"/>
    </xf>
    <xf numFmtId="1" fontId="14" fillId="2" borderId="34" xfId="0" applyNumberFormat="1" applyFont="1" applyFill="1" applyBorder="1" applyAlignment="1">
      <alignment horizontal="center"/>
    </xf>
    <xf numFmtId="1" fontId="14" fillId="2" borderId="8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2" fillId="16" borderId="6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vertical="center"/>
    </xf>
    <xf numFmtId="164" fontId="2" fillId="0" borderId="63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44" fontId="2" fillId="0" borderId="52" xfId="6" applyFont="1" applyFill="1" applyBorder="1" applyAlignment="1" applyProtection="1">
      <alignment horizontal="center"/>
      <protection locked="0"/>
    </xf>
    <xf numFmtId="44" fontId="3" fillId="7" borderId="78" xfId="6" applyFont="1" applyFill="1" applyBorder="1" applyAlignment="1">
      <alignment horizontal="center" vertical="center"/>
    </xf>
    <xf numFmtId="180" fontId="2" fillId="16" borderId="0" xfId="0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49" fontId="2" fillId="16" borderId="0" xfId="0" applyNumberFormat="1" applyFont="1" applyFill="1" applyBorder="1" applyAlignment="1">
      <alignment horizontal="center" vertical="center"/>
    </xf>
    <xf numFmtId="1" fontId="2" fillId="16" borderId="0" xfId="0" applyNumberFormat="1" applyFont="1" applyFill="1" applyBorder="1" applyAlignment="1">
      <alignment horizontal="center" vertical="center"/>
    </xf>
    <xf numFmtId="164" fontId="2" fillId="16" borderId="0" xfId="0" applyNumberFormat="1" applyFont="1" applyFill="1" applyBorder="1" applyAlignment="1">
      <alignment horizontal="center" vertical="center"/>
    </xf>
    <xf numFmtId="164" fontId="17" fillId="16" borderId="0" xfId="0" applyNumberFormat="1" applyFont="1" applyFill="1" applyBorder="1" applyAlignment="1">
      <alignment horizontal="center" vertical="center"/>
    </xf>
    <xf numFmtId="164" fontId="2" fillId="16" borderId="4" xfId="0" applyNumberFormat="1" applyFont="1" applyFill="1" applyBorder="1" applyAlignment="1">
      <alignment horizontal="center" vertical="center"/>
    </xf>
    <xf numFmtId="9" fontId="2" fillId="16" borderId="0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vertical="center"/>
    </xf>
    <xf numFmtId="1" fontId="117" fillId="5" borderId="9" xfId="0" applyNumberFormat="1" applyFont="1" applyFill="1" applyBorder="1" applyAlignment="1" applyProtection="1">
      <alignment horizontal="left" vertical="center"/>
      <protection locked="0"/>
    </xf>
    <xf numFmtId="0" fontId="117" fillId="3" borderId="0" xfId="0" applyFont="1" applyFill="1"/>
    <xf numFmtId="1" fontId="28" fillId="8" borderId="10" xfId="0" applyNumberFormat="1" applyFont="1" applyFill="1" applyBorder="1" applyAlignment="1">
      <alignment horizontal="center"/>
    </xf>
    <xf numFmtId="1" fontId="28" fillId="8" borderId="12" xfId="0" applyNumberFormat="1" applyFont="1" applyFill="1" applyBorder="1" applyAlignment="1">
      <alignment horizontal="center"/>
    </xf>
    <xf numFmtId="2" fontId="33" fillId="3" borderId="22" xfId="0" applyNumberFormat="1" applyFont="1" applyFill="1" applyBorder="1" applyAlignment="1" applyProtection="1">
      <alignment horizontal="center" vertical="center" wrapText="1"/>
    </xf>
    <xf numFmtId="2" fontId="28" fillId="3" borderId="52" xfId="0" applyNumberFormat="1" applyFont="1" applyFill="1" applyBorder="1" applyAlignment="1" applyProtection="1">
      <alignment horizontal="center" vertical="center"/>
    </xf>
    <xf numFmtId="2" fontId="42" fillId="3" borderId="0" xfId="0" applyNumberFormat="1" applyFont="1" applyFill="1" applyBorder="1" applyAlignment="1" applyProtection="1">
      <alignment horizontal="center" vertical="center"/>
    </xf>
    <xf numFmtId="2" fontId="42" fillId="3" borderId="25" xfId="0" applyNumberFormat="1" applyFont="1" applyFill="1" applyBorder="1" applyAlignment="1" applyProtection="1">
      <alignment horizontal="center" vertical="center"/>
    </xf>
    <xf numFmtId="2" fontId="60" fillId="3" borderId="0" xfId="0" applyNumberFormat="1" applyFont="1" applyFill="1" applyBorder="1" applyAlignment="1" applyProtection="1">
      <alignment vertical="center"/>
    </xf>
    <xf numFmtId="2" fontId="42" fillId="3" borderId="2" xfId="0" applyNumberFormat="1" applyFont="1" applyFill="1" applyBorder="1" applyAlignment="1" applyProtection="1">
      <alignment horizontal="center" vertical="center"/>
    </xf>
    <xf numFmtId="0" fontId="14" fillId="3" borderId="15" xfId="0" applyNumberFormat="1" applyFont="1" applyFill="1" applyBorder="1" applyAlignment="1" applyProtection="1">
      <alignment vertical="center"/>
      <protection locked="0"/>
    </xf>
    <xf numFmtId="0" fontId="12" fillId="2" borderId="66" xfId="0" applyNumberFormat="1" applyFont="1" applyFill="1" applyBorder="1" applyAlignment="1">
      <alignment vertical="center"/>
    </xf>
    <xf numFmtId="0" fontId="12" fillId="2" borderId="13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0" fontId="51" fillId="2" borderId="11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vertical="center"/>
    </xf>
    <xf numFmtId="0" fontId="12" fillId="2" borderId="39" xfId="0" applyNumberFormat="1" applyFont="1" applyFill="1" applyBorder="1" applyAlignment="1">
      <alignment horizontal="center" vertical="center"/>
    </xf>
    <xf numFmtId="0" fontId="8" fillId="4" borderId="36" xfId="0" applyNumberFormat="1" applyFont="1" applyFill="1" applyBorder="1" applyAlignment="1">
      <alignment horizontal="center" vertical="center"/>
    </xf>
    <xf numFmtId="0" fontId="8" fillId="4" borderId="74" xfId="0" applyNumberFormat="1" applyFont="1" applyFill="1" applyBorder="1" applyAlignment="1">
      <alignment horizontal="center" vertical="center"/>
    </xf>
    <xf numFmtId="0" fontId="8" fillId="4" borderId="79" xfId="0" applyNumberFormat="1" applyFont="1" applyFill="1" applyBorder="1" applyAlignment="1">
      <alignment horizontal="center" vertical="center"/>
    </xf>
    <xf numFmtId="0" fontId="8" fillId="4" borderId="17" xfId="0" applyNumberFormat="1" applyFont="1" applyFill="1" applyBorder="1" applyAlignment="1">
      <alignment horizontal="center" vertical="center"/>
    </xf>
    <xf numFmtId="0" fontId="14" fillId="3" borderId="44" xfId="0" applyNumberFormat="1" applyFont="1" applyFill="1" applyBorder="1" applyAlignment="1" applyProtection="1">
      <alignment vertical="center"/>
      <protection locked="0"/>
    </xf>
    <xf numFmtId="0" fontId="50" fillId="3" borderId="46" xfId="0" applyNumberFormat="1" applyFont="1" applyFill="1" applyBorder="1" applyAlignment="1" applyProtection="1">
      <alignment vertical="center"/>
      <protection locked="0"/>
    </xf>
    <xf numFmtId="0" fontId="50" fillId="3" borderId="28" xfId="0" applyNumberFormat="1" applyFont="1" applyFill="1" applyBorder="1" applyAlignment="1" applyProtection="1">
      <alignment horizontal="center" vertical="center"/>
      <protection locked="0"/>
    </xf>
    <xf numFmtId="0" fontId="50" fillId="3" borderId="28" xfId="0" applyNumberFormat="1" applyFont="1" applyFill="1" applyBorder="1" applyAlignment="1" applyProtection="1">
      <alignment horizontal="centerContinuous" vertical="center"/>
      <protection locked="0"/>
    </xf>
    <xf numFmtId="164" fontId="50" fillId="4" borderId="28" xfId="0" applyNumberFormat="1" applyFont="1" applyFill="1" applyBorder="1" applyAlignment="1" applyProtection="1">
      <alignment horizontal="center" vertical="center"/>
      <protection locked="0"/>
    </xf>
    <xf numFmtId="49" fontId="50" fillId="3" borderId="23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>
      <alignment vertical="center"/>
    </xf>
    <xf numFmtId="2" fontId="13" fillId="3" borderId="56" xfId="0" applyNumberFormat="1" applyFont="1" applyFill="1" applyBorder="1" applyAlignment="1">
      <alignment vertical="center"/>
    </xf>
    <xf numFmtId="0" fontId="14" fillId="3" borderId="57" xfId="0" applyFont="1" applyFill="1" applyBorder="1"/>
    <xf numFmtId="166" fontId="14" fillId="3" borderId="1" xfId="0" applyNumberFormat="1" applyFont="1" applyFill="1" applyBorder="1"/>
    <xf numFmtId="10" fontId="14" fillId="3" borderId="1" xfId="0" applyNumberFormat="1" applyFont="1" applyFill="1" applyBorder="1"/>
    <xf numFmtId="0" fontId="14" fillId="3" borderId="71" xfId="0" applyFont="1" applyFill="1" applyBorder="1"/>
    <xf numFmtId="166" fontId="14" fillId="3" borderId="6" xfId="0" applyNumberFormat="1" applyFont="1" applyFill="1" applyBorder="1"/>
    <xf numFmtId="10" fontId="14" fillId="3" borderId="6" xfId="0" applyNumberFormat="1" applyFont="1" applyFill="1" applyBorder="1"/>
    <xf numFmtId="0" fontId="13" fillId="3" borderId="71" xfId="0" applyFont="1" applyFill="1" applyBorder="1"/>
    <xf numFmtId="0" fontId="14" fillId="3" borderId="46" xfId="0" applyFont="1" applyFill="1" applyBorder="1"/>
    <xf numFmtId="166" fontId="14" fillId="3" borderId="28" xfId="0" applyNumberFormat="1" applyFont="1" applyFill="1" applyBorder="1"/>
    <xf numFmtId="10" fontId="14" fillId="3" borderId="28" xfId="0" applyNumberFormat="1" applyFont="1" applyFill="1" applyBorder="1"/>
    <xf numFmtId="2" fontId="13" fillId="3" borderId="9" xfId="0" applyNumberFormat="1" applyFont="1" applyFill="1" applyBorder="1" applyAlignment="1">
      <alignment horizontal="center" vertical="center"/>
    </xf>
    <xf numFmtId="2" fontId="13" fillId="3" borderId="9" xfId="0" applyNumberFormat="1" applyFont="1" applyFill="1" applyBorder="1" applyAlignment="1">
      <alignment horizontal="center" vertical="center" wrapText="1"/>
    </xf>
    <xf numFmtId="0" fontId="14" fillId="3" borderId="58" xfId="0" applyFont="1" applyFill="1" applyBorder="1"/>
    <xf numFmtId="166" fontId="14" fillId="3" borderId="34" xfId="0" applyNumberFormat="1" applyFont="1" applyFill="1" applyBorder="1"/>
    <xf numFmtId="10" fontId="14" fillId="3" borderId="34" xfId="0" applyNumberFormat="1" applyFont="1" applyFill="1" applyBorder="1"/>
    <xf numFmtId="0" fontId="13" fillId="3" borderId="70" xfId="0" applyFont="1" applyFill="1" applyBorder="1"/>
    <xf numFmtId="166" fontId="118" fillId="3" borderId="22" xfId="0" applyNumberFormat="1" applyFont="1" applyFill="1" applyBorder="1"/>
    <xf numFmtId="10" fontId="13" fillId="3" borderId="22" xfId="0" applyNumberFormat="1" applyFont="1" applyFill="1" applyBorder="1"/>
    <xf numFmtId="0" fontId="119" fillId="3" borderId="0" xfId="0" applyFont="1" applyFill="1"/>
    <xf numFmtId="1" fontId="14" fillId="3" borderId="77" xfId="0" applyNumberFormat="1" applyFont="1" applyFill="1" applyBorder="1"/>
    <xf numFmtId="182" fontId="14" fillId="3" borderId="77" xfId="0" applyNumberFormat="1" applyFont="1" applyFill="1" applyBorder="1"/>
    <xf numFmtId="184" fontId="14" fillId="3" borderId="77" xfId="0" applyNumberFormat="1" applyFont="1" applyFill="1" applyBorder="1"/>
    <xf numFmtId="183" fontId="14" fillId="3" borderId="77" xfId="0" applyNumberFormat="1" applyFont="1" applyFill="1" applyBorder="1"/>
    <xf numFmtId="182" fontId="14" fillId="3" borderId="78" xfId="0" applyNumberFormat="1" applyFont="1" applyFill="1" applyBorder="1"/>
    <xf numFmtId="1" fontId="14" fillId="3" borderId="37" xfId="0" applyNumberFormat="1" applyFont="1" applyFill="1" applyBorder="1"/>
    <xf numFmtId="2" fontId="14" fillId="3" borderId="37" xfId="0" applyNumberFormat="1" applyFont="1" applyFill="1" applyBorder="1"/>
    <xf numFmtId="164" fontId="14" fillId="3" borderId="37" xfId="0" applyNumberFormat="1" applyFont="1" applyFill="1" applyBorder="1"/>
    <xf numFmtId="0" fontId="14" fillId="3" borderId="38" xfId="0" applyFont="1" applyFill="1" applyBorder="1"/>
    <xf numFmtId="0" fontId="120" fillId="3" borderId="72" xfId="0" applyFont="1" applyFill="1" applyBorder="1"/>
    <xf numFmtId="0" fontId="121" fillId="3" borderId="72" xfId="0" applyFont="1" applyFill="1" applyBorder="1"/>
    <xf numFmtId="1" fontId="122" fillId="3" borderId="48" xfId="0" applyNumberFormat="1" applyFont="1" applyFill="1" applyBorder="1"/>
    <xf numFmtId="2" fontId="118" fillId="3" borderId="48" xfId="0" applyNumberFormat="1" applyFont="1" applyFill="1" applyBorder="1"/>
    <xf numFmtId="2" fontId="122" fillId="3" borderId="48" xfId="0" applyNumberFormat="1" applyFont="1" applyFill="1" applyBorder="1"/>
    <xf numFmtId="164" fontId="118" fillId="3" borderId="48" xfId="0" applyNumberFormat="1" applyFont="1" applyFill="1" applyBorder="1"/>
    <xf numFmtId="164" fontId="122" fillId="3" borderId="48" xfId="0" applyNumberFormat="1" applyFont="1" applyFill="1" applyBorder="1"/>
    <xf numFmtId="185" fontId="14" fillId="3" borderId="77" xfId="0" applyNumberFormat="1" applyFont="1" applyFill="1" applyBorder="1"/>
    <xf numFmtId="2" fontId="13" fillId="16" borderId="42" xfId="0" applyNumberFormat="1" applyFont="1" applyFill="1" applyBorder="1" applyAlignment="1">
      <alignment horizontal="center" vertical="center" wrapText="1"/>
    </xf>
    <xf numFmtId="181" fontId="123" fillId="16" borderId="51" xfId="0" applyNumberFormat="1" applyFont="1" applyFill="1" applyBorder="1"/>
    <xf numFmtId="181" fontId="123" fillId="16" borderId="48" xfId="0" applyNumberFormat="1" applyFont="1" applyFill="1" applyBorder="1"/>
    <xf numFmtId="181" fontId="123" fillId="16" borderId="59" xfId="0" applyNumberFormat="1" applyFont="1" applyFill="1" applyBorder="1"/>
    <xf numFmtId="181" fontId="123" fillId="16" borderId="20" xfId="0" applyNumberFormat="1" applyFont="1" applyFill="1" applyBorder="1"/>
    <xf numFmtId="181" fontId="14" fillId="16" borderId="23" xfId="0" applyNumberFormat="1" applyFont="1" applyFill="1" applyBorder="1"/>
    <xf numFmtId="1" fontId="121" fillId="3" borderId="71" xfId="0" applyNumberFormat="1" applyFont="1" applyFill="1" applyBorder="1"/>
    <xf numFmtId="2" fontId="120" fillId="3" borderId="71" xfId="0" applyNumberFormat="1" applyFont="1" applyFill="1" applyBorder="1"/>
    <xf numFmtId="1" fontId="120" fillId="3" borderId="71" xfId="0" applyNumberFormat="1" applyFont="1" applyFill="1" applyBorder="1"/>
    <xf numFmtId="164" fontId="120" fillId="3" borderId="71" xfId="0" applyNumberFormat="1" applyFont="1" applyFill="1" applyBorder="1"/>
    <xf numFmtId="166" fontId="121" fillId="3" borderId="46" xfId="0" applyNumberFormat="1" applyFont="1" applyFill="1" applyBorder="1"/>
    <xf numFmtId="166" fontId="122" fillId="3" borderId="23" xfId="0" applyNumberFormat="1" applyFont="1" applyFill="1" applyBorder="1"/>
    <xf numFmtId="2" fontId="13" fillId="3" borderId="37" xfId="0" applyNumberFormat="1" applyFont="1" applyFill="1" applyBorder="1"/>
    <xf numFmtId="164" fontId="13" fillId="3" borderId="37" xfId="0" applyNumberFormat="1" applyFont="1" applyFill="1" applyBorder="1"/>
    <xf numFmtId="182" fontId="13" fillId="3" borderId="77" xfId="0" applyNumberFormat="1" applyFont="1" applyFill="1" applyBorder="1"/>
    <xf numFmtId="2" fontId="13" fillId="3" borderId="42" xfId="0" applyNumberFormat="1" applyFont="1" applyFill="1" applyBorder="1" applyAlignment="1">
      <alignment horizontal="center" vertical="center"/>
    </xf>
    <xf numFmtId="0" fontId="121" fillId="3" borderId="68" xfId="0" applyFont="1" applyFill="1" applyBorder="1"/>
    <xf numFmtId="0" fontId="120" fillId="3" borderId="60" xfId="0" applyFont="1" applyFill="1" applyBorder="1"/>
    <xf numFmtId="0" fontId="121" fillId="3" borderId="69" xfId="0" applyFont="1" applyFill="1" applyBorder="1"/>
    <xf numFmtId="0" fontId="120" fillId="3" borderId="69" xfId="0" applyFont="1" applyFill="1" applyBorder="1"/>
    <xf numFmtId="1" fontId="120" fillId="3" borderId="58" xfId="0" applyNumberFormat="1" applyFont="1" applyFill="1" applyBorder="1"/>
    <xf numFmtId="1" fontId="122" fillId="3" borderId="59" xfId="0" applyNumberFormat="1" applyFont="1" applyFill="1" applyBorder="1"/>
    <xf numFmtId="2" fontId="120" fillId="3" borderId="57" xfId="0" applyNumberFormat="1" applyFont="1" applyFill="1" applyBorder="1"/>
    <xf numFmtId="2" fontId="122" fillId="3" borderId="51" xfId="0" applyNumberFormat="1" applyFont="1" applyFill="1" applyBorder="1"/>
    <xf numFmtId="183" fontId="14" fillId="3" borderId="61" xfId="0" applyNumberFormat="1" applyFont="1" applyFill="1" applyBorder="1"/>
    <xf numFmtId="2" fontId="14" fillId="3" borderId="79" xfId="0" applyNumberFormat="1" applyFont="1" applyFill="1" applyBorder="1"/>
    <xf numFmtId="185" fontId="14" fillId="3" borderId="62" xfId="0" applyNumberFormat="1" applyFont="1" applyFill="1" applyBorder="1"/>
    <xf numFmtId="0" fontId="14" fillId="3" borderId="67" xfId="0" applyFont="1" applyFill="1" applyBorder="1"/>
    <xf numFmtId="0" fontId="120" fillId="3" borderId="56" xfId="0" applyFont="1" applyFill="1" applyBorder="1"/>
    <xf numFmtId="0" fontId="120" fillId="3" borderId="19" xfId="0" applyFont="1" applyFill="1" applyBorder="1"/>
    <xf numFmtId="0" fontId="122" fillId="3" borderId="19" xfId="0" applyFont="1" applyFill="1" applyBorder="1"/>
    <xf numFmtId="0" fontId="14" fillId="3" borderId="19" xfId="0" applyFont="1" applyFill="1" applyBorder="1"/>
    <xf numFmtId="182" fontId="14" fillId="3" borderId="42" xfId="0" applyNumberFormat="1" applyFont="1" applyFill="1" applyBorder="1"/>
    <xf numFmtId="0" fontId="120" fillId="3" borderId="7" xfId="0" applyFont="1" applyFill="1" applyBorder="1" applyAlignment="1">
      <alignment horizontal="center"/>
    </xf>
    <xf numFmtId="0" fontId="120" fillId="3" borderId="18" xfId="0" applyFont="1" applyFill="1" applyBorder="1" applyAlignment="1">
      <alignment horizontal="center"/>
    </xf>
    <xf numFmtId="0" fontId="120" fillId="3" borderId="19" xfId="0" applyFont="1" applyFill="1" applyBorder="1" applyAlignment="1">
      <alignment horizontal="center"/>
    </xf>
    <xf numFmtId="49" fontId="120" fillId="3" borderId="62" xfId="0" applyNumberFormat="1" applyFont="1" applyFill="1" applyBorder="1" applyAlignment="1">
      <alignment horizontal="center"/>
    </xf>
    <xf numFmtId="49" fontId="120" fillId="3" borderId="77" xfId="0" applyNumberFormat="1" applyFont="1" applyFill="1" applyBorder="1" applyAlignment="1">
      <alignment horizontal="center"/>
    </xf>
    <xf numFmtId="0" fontId="121" fillId="3" borderId="7" xfId="0" applyFont="1" applyFill="1" applyBorder="1" applyAlignment="1">
      <alignment horizontal="center"/>
    </xf>
    <xf numFmtId="49" fontId="121" fillId="3" borderId="2" xfId="0" applyNumberFormat="1" applyFont="1" applyFill="1" applyBorder="1" applyAlignment="1">
      <alignment horizontal="center"/>
    </xf>
    <xf numFmtId="0" fontId="124" fillId="3" borderId="0" xfId="0" applyFont="1" applyFill="1" applyAlignment="1">
      <alignment horizontal="center"/>
    </xf>
    <xf numFmtId="10" fontId="1" fillId="0" borderId="53" xfId="5" applyNumberFormat="1" applyFont="1" applyBorder="1" applyAlignment="1" applyProtection="1">
      <alignment horizontal="center"/>
      <protection hidden="1"/>
    </xf>
    <xf numFmtId="2" fontId="1" fillId="0" borderId="2" xfId="5" applyNumberFormat="1" applyFont="1" applyBorder="1" applyAlignment="1" applyProtection="1">
      <alignment horizontal="center"/>
      <protection hidden="1"/>
    </xf>
    <xf numFmtId="10" fontId="3" fillId="0" borderId="50" xfId="5" applyNumberFormat="1" applyFont="1" applyBorder="1" applyAlignment="1" applyProtection="1">
      <alignment horizontal="center"/>
      <protection hidden="1"/>
    </xf>
    <xf numFmtId="0" fontId="3" fillId="18" borderId="9" xfId="0" applyFont="1" applyFill="1" applyBorder="1"/>
    <xf numFmtId="1" fontId="1" fillId="0" borderId="6" xfId="5" applyNumberFormat="1" applyBorder="1" applyAlignment="1" applyProtection="1">
      <alignment horizontal="center"/>
      <protection hidden="1"/>
    </xf>
    <xf numFmtId="1" fontId="1" fillId="0" borderId="28" xfId="5" applyNumberFormat="1" applyBorder="1" applyAlignment="1" applyProtection="1">
      <alignment horizontal="center"/>
      <protection hidden="1"/>
    </xf>
    <xf numFmtId="1" fontId="1" fillId="0" borderId="1" xfId="5" applyNumberFormat="1" applyBorder="1" applyAlignment="1" applyProtection="1">
      <alignment horizontal="center"/>
      <protection hidden="1"/>
    </xf>
    <xf numFmtId="1" fontId="3" fillId="3" borderId="9" xfId="0" applyNumberFormat="1" applyFont="1" applyFill="1" applyBorder="1" applyAlignment="1">
      <alignment horizontal="center"/>
    </xf>
    <xf numFmtId="164" fontId="3" fillId="18" borderId="9" xfId="0" applyNumberFormat="1" applyFont="1" applyFill="1" applyBorder="1" applyAlignment="1">
      <alignment horizontal="center"/>
    </xf>
    <xf numFmtId="1" fontId="14" fillId="2" borderId="16" xfId="0" applyNumberFormat="1" applyFont="1" applyFill="1" applyBorder="1" applyAlignment="1">
      <alignment horizontal="center"/>
    </xf>
    <xf numFmtId="1" fontId="14" fillId="2" borderId="1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64" fontId="3" fillId="0" borderId="80" xfId="5" applyNumberFormat="1" applyFont="1" applyBorder="1" applyAlignment="1" applyProtection="1">
      <alignment horizontal="center"/>
      <protection hidden="1"/>
    </xf>
    <xf numFmtId="164" fontId="3" fillId="0" borderId="81" xfId="5" applyNumberFormat="1" applyFont="1" applyBorder="1" applyAlignment="1" applyProtection="1">
      <alignment horizontal="center"/>
      <protection hidden="1"/>
    </xf>
    <xf numFmtId="164" fontId="3" fillId="0" borderId="82" xfId="5" applyNumberFormat="1" applyFont="1" applyBorder="1" applyAlignment="1" applyProtection="1">
      <alignment horizontal="center"/>
      <protection hidden="1"/>
    </xf>
    <xf numFmtId="1" fontId="3" fillId="0" borderId="83" xfId="5" applyNumberFormat="1" applyFont="1" applyBorder="1" applyAlignment="1" applyProtection="1">
      <alignment horizontal="center"/>
      <protection hidden="1"/>
    </xf>
    <xf numFmtId="1" fontId="3" fillId="0" borderId="84" xfId="5" applyNumberFormat="1" applyFont="1" applyBorder="1" applyAlignment="1" applyProtection="1">
      <alignment horizontal="center"/>
      <protection hidden="1"/>
    </xf>
    <xf numFmtId="1" fontId="3" fillId="0" borderId="85" xfId="5" applyNumberFormat="1" applyFont="1" applyBorder="1" applyAlignment="1" applyProtection="1">
      <alignment horizontal="center"/>
      <protection hidden="1"/>
    </xf>
    <xf numFmtId="2" fontId="3" fillId="0" borderId="75" xfId="5" applyNumberFormat="1" applyFont="1" applyBorder="1" applyAlignment="1" applyProtection="1">
      <alignment horizontal="center"/>
      <protection hidden="1"/>
    </xf>
    <xf numFmtId="1" fontId="14" fillId="15" borderId="6" xfId="0" applyNumberFormat="1" applyFont="1" applyFill="1" applyBorder="1" applyAlignment="1" applyProtection="1">
      <alignment horizontal="center" vertical="center"/>
      <protection locked="0"/>
    </xf>
    <xf numFmtId="1" fontId="14" fillId="15" borderId="6" xfId="0" applyNumberFormat="1" applyFont="1" applyFill="1" applyBorder="1" applyAlignment="1" applyProtection="1">
      <alignment horizontal="center"/>
      <protection locked="0"/>
    </xf>
    <xf numFmtId="0" fontId="10" fillId="3" borderId="56" xfId="0" applyFont="1" applyFill="1" applyBorder="1"/>
    <xf numFmtId="0" fontId="1" fillId="3" borderId="0" xfId="0" applyFont="1" applyFill="1" applyBorder="1"/>
    <xf numFmtId="0" fontId="6" fillId="3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0" fillId="16" borderId="0" xfId="0" applyFont="1" applyFill="1" applyBorder="1" applyAlignment="1">
      <alignment horizontal="center" vertical="center" wrapText="1"/>
    </xf>
    <xf numFmtId="2" fontId="6" fillId="3" borderId="0" xfId="0" applyNumberFormat="1" applyFont="1" applyFill="1" applyAlignment="1">
      <alignment vertical="center"/>
    </xf>
    <xf numFmtId="2" fontId="3" fillId="4" borderId="6" xfId="0" applyNumberFormat="1" applyFont="1" applyFill="1" applyBorder="1" applyAlignment="1">
      <alignment vertical="center"/>
    </xf>
    <xf numFmtId="2" fontId="3" fillId="4" borderId="6" xfId="0" applyNumberFormat="1" applyFont="1" applyFill="1" applyBorder="1" applyAlignment="1">
      <alignment horizontal="right" vertical="center"/>
    </xf>
    <xf numFmtId="0" fontId="40" fillId="20" borderId="6" xfId="0" applyFont="1" applyFill="1" applyBorder="1" applyAlignment="1">
      <alignment horizontal="center" vertical="center"/>
    </xf>
    <xf numFmtId="0" fontId="3" fillId="21" borderId="6" xfId="0" applyFont="1" applyFill="1" applyBorder="1" applyAlignment="1">
      <alignment horizontal="center" vertical="center"/>
    </xf>
    <xf numFmtId="1" fontId="3" fillId="18" borderId="9" xfId="0" applyNumberFormat="1" applyFont="1" applyFill="1" applyBorder="1" applyAlignment="1">
      <alignment horizontal="center" vertical="center"/>
    </xf>
    <xf numFmtId="164" fontId="3" fillId="21" borderId="6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22" borderId="6" xfId="0" applyNumberFormat="1" applyFont="1" applyFill="1" applyBorder="1" applyAlignment="1">
      <alignment horizontal="center" vertical="center"/>
    </xf>
    <xf numFmtId="164" fontId="3" fillId="21" borderId="35" xfId="0" applyNumberFormat="1" applyFont="1" applyFill="1" applyBorder="1" applyAlignment="1">
      <alignment horizontal="center" vertical="center"/>
    </xf>
    <xf numFmtId="49" fontId="109" fillId="3" borderId="0" xfId="0" applyNumberFormat="1" applyFont="1" applyFill="1"/>
    <xf numFmtId="1" fontId="0" fillId="2" borderId="0" xfId="0" applyNumberFormat="1" applyFill="1" applyAlignment="1" applyProtection="1">
      <alignment horizontal="center"/>
      <protection locked="0"/>
    </xf>
    <xf numFmtId="1" fontId="0" fillId="16" borderId="0" xfId="0" applyNumberFormat="1" applyFill="1" applyAlignment="1" applyProtection="1">
      <alignment horizontal="center"/>
      <protection locked="0"/>
    </xf>
    <xf numFmtId="1" fontId="0" fillId="16" borderId="3" xfId="0" applyNumberFormat="1" applyFill="1" applyBorder="1" applyAlignment="1" applyProtection="1">
      <alignment horizontal="center"/>
      <protection locked="0"/>
    </xf>
    <xf numFmtId="1" fontId="0" fillId="16" borderId="0" xfId="0" applyNumberFormat="1" applyFill="1" applyBorder="1" applyAlignment="1" applyProtection="1">
      <alignment horizontal="center"/>
      <protection locked="0"/>
    </xf>
    <xf numFmtId="1" fontId="0" fillId="16" borderId="2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/>
      <protection locked="0"/>
    </xf>
    <xf numFmtId="0" fontId="0" fillId="16" borderId="2" xfId="0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164" fontId="3" fillId="3" borderId="0" xfId="0" applyNumberFormat="1" applyFont="1" applyFill="1" applyBorder="1" applyAlignment="1">
      <alignment horizontal="center" vertical="center"/>
    </xf>
    <xf numFmtId="0" fontId="3" fillId="16" borderId="0" xfId="0" applyFont="1" applyFill="1" applyAlignment="1">
      <alignment vertical="center"/>
    </xf>
    <xf numFmtId="0" fontId="3" fillId="16" borderId="0" xfId="0" applyFont="1" applyFill="1" applyBorder="1" applyAlignment="1">
      <alignment vertical="center"/>
    </xf>
    <xf numFmtId="0" fontId="3" fillId="16" borderId="0" xfId="0" applyFont="1" applyFill="1" applyBorder="1" applyAlignment="1">
      <alignment horizontal="right" vertical="center"/>
    </xf>
    <xf numFmtId="164" fontId="3" fillId="16" borderId="0" xfId="0" applyNumberFormat="1" applyFont="1" applyFill="1" applyBorder="1" applyAlignment="1">
      <alignment horizontal="center" vertical="center"/>
    </xf>
    <xf numFmtId="0" fontId="40" fillId="16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77" fontId="1" fillId="2" borderId="0" xfId="0" applyNumberFormat="1" applyFont="1" applyFill="1"/>
    <xf numFmtId="177" fontId="1" fillId="2" borderId="12" xfId="0" applyNumberFormat="1" applyFont="1" applyFill="1" applyBorder="1"/>
    <xf numFmtId="0" fontId="0" fillId="2" borderId="12" xfId="0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49" fontId="97" fillId="23" borderId="9" xfId="0" applyNumberFormat="1" applyFont="1" applyFill="1" applyBorder="1" applyAlignment="1" applyProtection="1">
      <alignment horizontal="center" vertical="center"/>
      <protection locked="0"/>
    </xf>
    <xf numFmtId="164" fontId="14" fillId="3" borderId="77" xfId="0" applyNumberFormat="1" applyFont="1" applyFill="1" applyBorder="1"/>
    <xf numFmtId="185" fontId="13" fillId="3" borderId="77" xfId="0" applyNumberFormat="1" applyFont="1" applyFill="1" applyBorder="1"/>
    <xf numFmtId="184" fontId="13" fillId="3" borderId="77" xfId="0" applyNumberFormat="1" applyFont="1" applyFill="1" applyBorder="1"/>
    <xf numFmtId="49" fontId="121" fillId="3" borderId="62" xfId="0" applyNumberFormat="1" applyFont="1" applyFill="1" applyBorder="1" applyAlignment="1">
      <alignment horizontal="center"/>
    </xf>
    <xf numFmtId="164" fontId="3" fillId="16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Alignment="1" applyProtection="1">
      <alignment horizontal="center" vertical="center"/>
    </xf>
    <xf numFmtId="0" fontId="120" fillId="3" borderId="3" xfId="0" applyFont="1" applyFill="1" applyBorder="1" applyAlignment="1">
      <alignment horizontal="center"/>
    </xf>
    <xf numFmtId="0" fontId="125" fillId="3" borderId="57" xfId="0" applyFont="1" applyFill="1" applyBorder="1" applyAlignment="1">
      <alignment horizontal="center"/>
    </xf>
    <xf numFmtId="0" fontId="118" fillId="3" borderId="51" xfId="0" applyFont="1" applyFill="1" applyBorder="1" applyAlignment="1">
      <alignment horizontal="center"/>
    </xf>
    <xf numFmtId="0" fontId="60" fillId="3" borderId="19" xfId="0" applyFont="1" applyFill="1" applyBorder="1" applyAlignment="1" applyProtection="1">
      <alignment vertical="center"/>
    </xf>
    <xf numFmtId="0" fontId="60" fillId="3" borderId="60" xfId="0" applyFont="1" applyFill="1" applyBorder="1" applyAlignment="1" applyProtection="1">
      <alignment horizontal="center" vertical="center"/>
    </xf>
    <xf numFmtId="0" fontId="60" fillId="3" borderId="56" xfId="0" applyFont="1" applyFill="1" applyBorder="1" applyAlignment="1" applyProtection="1">
      <alignment vertical="center"/>
    </xf>
    <xf numFmtId="0" fontId="60" fillId="3" borderId="0" xfId="0" applyFont="1" applyFill="1" applyBorder="1" applyAlignment="1" applyProtection="1">
      <alignment vertical="center"/>
    </xf>
    <xf numFmtId="164" fontId="60" fillId="3" borderId="67" xfId="0" applyNumberFormat="1" applyFont="1" applyFill="1" applyBorder="1" applyAlignment="1" applyProtection="1">
      <alignment horizontal="center" vertical="center" wrapText="1"/>
    </xf>
    <xf numFmtId="0" fontId="60" fillId="3" borderId="24" xfId="0" applyFont="1" applyFill="1" applyBorder="1" applyAlignment="1" applyProtection="1">
      <alignment vertical="center"/>
    </xf>
    <xf numFmtId="166" fontId="28" fillId="3" borderId="55" xfId="0" applyNumberFormat="1" applyFont="1" applyFill="1" applyBorder="1" applyAlignment="1" applyProtection="1">
      <alignment horizontal="center" vertical="center"/>
    </xf>
    <xf numFmtId="166" fontId="42" fillId="3" borderId="42" xfId="0" applyNumberFormat="1" applyFont="1" applyFill="1" applyBorder="1" applyAlignment="1" applyProtection="1">
      <alignment horizontal="center" vertical="center"/>
    </xf>
    <xf numFmtId="164" fontId="42" fillId="3" borderId="27" xfId="0" applyNumberFormat="1" applyFont="1" applyFill="1" applyBorder="1" applyAlignment="1" applyProtection="1">
      <alignment horizontal="center" vertical="center"/>
    </xf>
    <xf numFmtId="164" fontId="42" fillId="3" borderId="24" xfId="0" applyNumberFormat="1" applyFont="1" applyFill="1" applyBorder="1" applyAlignment="1" applyProtection="1">
      <alignment horizontal="center" vertical="center"/>
    </xf>
    <xf numFmtId="164" fontId="60" fillId="3" borderId="24" xfId="0" applyNumberFormat="1" applyFont="1" applyFill="1" applyBorder="1" applyAlignment="1" applyProtection="1">
      <alignment vertical="center"/>
    </xf>
    <xf numFmtId="0" fontId="42" fillId="7" borderId="14" xfId="0" applyNumberFormat="1" applyFont="1" applyFill="1" applyBorder="1" applyAlignment="1" applyProtection="1">
      <alignment vertical="center"/>
      <protection locked="0"/>
    </xf>
    <xf numFmtId="0" fontId="42" fillId="7" borderId="17" xfId="0" applyNumberFormat="1" applyFont="1" applyFill="1" applyBorder="1" applyAlignment="1" applyProtection="1">
      <alignment vertical="center"/>
      <protection locked="0"/>
    </xf>
    <xf numFmtId="164" fontId="42" fillId="3" borderId="55" xfId="0" applyNumberFormat="1" applyFont="1" applyFill="1" applyBorder="1" applyAlignment="1" applyProtection="1">
      <alignment horizontal="center" vertical="center"/>
    </xf>
    <xf numFmtId="164" fontId="28" fillId="3" borderId="53" xfId="0" applyNumberFormat="1" applyFont="1" applyFill="1" applyBorder="1" applyAlignment="1" applyProtection="1">
      <alignment horizontal="center" vertical="center"/>
    </xf>
    <xf numFmtId="164" fontId="42" fillId="3" borderId="30" xfId="0" applyNumberFormat="1" applyFont="1" applyFill="1" applyBorder="1" applyAlignment="1" applyProtection="1">
      <alignment horizontal="center" vertical="center"/>
    </xf>
    <xf numFmtId="2" fontId="42" fillId="3" borderId="67" xfId="0" applyNumberFormat="1" applyFont="1" applyFill="1" applyBorder="1" applyAlignment="1" applyProtection="1">
      <alignment horizontal="center" vertical="center"/>
    </xf>
    <xf numFmtId="0" fontId="42" fillId="3" borderId="78" xfId="0" applyFont="1" applyFill="1" applyBorder="1" applyAlignment="1" applyProtection="1">
      <alignment horizontal="center" vertical="center"/>
    </xf>
    <xf numFmtId="164" fontId="28" fillId="3" borderId="20" xfId="0" applyNumberFormat="1" applyFont="1" applyFill="1" applyBorder="1" applyAlignment="1" applyProtection="1">
      <alignment horizontal="center" vertical="center"/>
    </xf>
    <xf numFmtId="164" fontId="42" fillId="3" borderId="23" xfId="0" applyNumberFormat="1" applyFont="1" applyFill="1" applyBorder="1" applyAlignment="1" applyProtection="1">
      <alignment horizontal="center" vertical="center"/>
    </xf>
    <xf numFmtId="170" fontId="28" fillId="3" borderId="67" xfId="6" applyNumberFormat="1" applyFont="1" applyFill="1" applyBorder="1" applyAlignment="1" applyProtection="1">
      <alignment horizontal="center" vertical="center"/>
    </xf>
    <xf numFmtId="170" fontId="28" fillId="3" borderId="42" xfId="6" applyNumberFormat="1" applyFont="1" applyFill="1" applyBorder="1" applyAlignment="1" applyProtection="1">
      <alignment horizontal="center" vertical="center"/>
    </xf>
    <xf numFmtId="1" fontId="28" fillId="7" borderId="20" xfId="0" applyNumberFormat="1" applyFont="1" applyFill="1" applyBorder="1" applyAlignment="1" applyProtection="1">
      <alignment horizontal="center" vertical="center"/>
      <protection locked="0"/>
    </xf>
    <xf numFmtId="1" fontId="28" fillId="7" borderId="30" xfId="0" applyNumberFormat="1" applyFont="1" applyFill="1" applyBorder="1" applyAlignment="1" applyProtection="1">
      <alignment horizontal="center" vertical="center"/>
      <protection locked="0"/>
    </xf>
    <xf numFmtId="10" fontId="42" fillId="16" borderId="20" xfId="0" applyNumberFormat="1" applyFont="1" applyFill="1" applyBorder="1" applyAlignment="1" applyProtection="1">
      <alignment horizontal="center" vertical="center"/>
    </xf>
    <xf numFmtId="10" fontId="42" fillId="16" borderId="48" xfId="0" applyNumberFormat="1" applyFont="1" applyFill="1" applyBorder="1" applyAlignment="1" applyProtection="1">
      <alignment horizontal="center" vertical="center"/>
    </xf>
    <xf numFmtId="10" fontId="42" fillId="16" borderId="23" xfId="0" applyNumberFormat="1" applyFont="1" applyFill="1" applyBorder="1" applyAlignment="1" applyProtection="1">
      <alignment horizontal="center" vertical="center"/>
    </xf>
    <xf numFmtId="10" fontId="42" fillId="16" borderId="39" xfId="0" applyNumberFormat="1" applyFont="1" applyFill="1" applyBorder="1" applyAlignment="1" applyProtection="1">
      <alignment horizontal="center" vertical="center"/>
    </xf>
    <xf numFmtId="10" fontId="42" fillId="16" borderId="38" xfId="0" applyNumberFormat="1" applyFont="1" applyFill="1" applyBorder="1" applyAlignment="1" applyProtection="1">
      <alignment horizontal="center" vertical="center"/>
    </xf>
    <xf numFmtId="0" fontId="60" fillId="3" borderId="55" xfId="0" applyFont="1" applyFill="1" applyBorder="1" applyAlignment="1" applyProtection="1">
      <alignment vertical="center"/>
    </xf>
    <xf numFmtId="0" fontId="60" fillId="3" borderId="42" xfId="0" applyFont="1" applyFill="1" applyBorder="1" applyAlignment="1" applyProtection="1">
      <alignment vertical="center"/>
    </xf>
    <xf numFmtId="2" fontId="28" fillId="3" borderId="26" xfId="0" applyNumberFormat="1" applyFont="1" applyFill="1" applyBorder="1" applyAlignment="1" applyProtection="1">
      <alignment horizontal="center" vertical="center"/>
    </xf>
    <xf numFmtId="2" fontId="28" fillId="3" borderId="0" xfId="0" applyNumberFormat="1" applyFont="1" applyFill="1" applyBorder="1" applyAlignment="1" applyProtection="1">
      <alignment horizontal="center" vertical="center"/>
    </xf>
    <xf numFmtId="2" fontId="28" fillId="3" borderId="22" xfId="0" applyNumberFormat="1" applyFont="1" applyFill="1" applyBorder="1" applyAlignment="1" applyProtection="1">
      <alignment horizontal="center" vertical="center"/>
    </xf>
    <xf numFmtId="2" fontId="28" fillId="3" borderId="28" xfId="0" applyNumberFormat="1" applyFont="1" applyFill="1" applyBorder="1" applyAlignment="1" applyProtection="1">
      <alignment horizontal="center" vertical="center"/>
    </xf>
    <xf numFmtId="164" fontId="33" fillId="3" borderId="20" xfId="0" applyNumberFormat="1" applyFont="1" applyFill="1" applyBorder="1" applyAlignment="1" applyProtection="1">
      <alignment horizontal="center" vertical="center" wrapText="1"/>
    </xf>
    <xf numFmtId="164" fontId="109" fillId="3" borderId="24" xfId="0" applyNumberFormat="1" applyFont="1" applyFill="1" applyBorder="1" applyAlignment="1" applyProtection="1">
      <alignment horizontal="center" vertical="center"/>
    </xf>
    <xf numFmtId="164" fontId="109" fillId="3" borderId="20" xfId="0" applyNumberFormat="1" applyFont="1" applyFill="1" applyBorder="1" applyAlignment="1" applyProtection="1">
      <alignment horizontal="center" vertical="center"/>
    </xf>
    <xf numFmtId="2" fontId="14" fillId="15" borderId="28" xfId="0" applyNumberFormat="1" applyFont="1" applyFill="1" applyBorder="1" applyAlignment="1" applyProtection="1">
      <alignment horizontal="center" vertical="center"/>
      <protection locked="0"/>
    </xf>
    <xf numFmtId="0" fontId="109" fillId="3" borderId="0" xfId="0" applyFont="1" applyFill="1" applyAlignment="1" applyProtection="1">
      <alignment vertical="center" wrapText="1"/>
      <protection hidden="1"/>
    </xf>
    <xf numFmtId="0" fontId="116" fillId="3" borderId="0" xfId="0" applyFont="1" applyFill="1" applyProtection="1">
      <protection hidden="1"/>
    </xf>
    <xf numFmtId="0" fontId="1" fillId="14" borderId="0" xfId="0" applyNumberFormat="1" applyFont="1" applyFill="1" applyBorder="1" applyAlignment="1" applyProtection="1">
      <alignment horizontal="center" vertical="center"/>
    </xf>
    <xf numFmtId="0" fontId="2" fillId="15" borderId="0" xfId="0" applyFont="1" applyFill="1" applyAlignment="1" applyProtection="1">
      <alignment horizontal="center" vertical="center"/>
    </xf>
    <xf numFmtId="0" fontId="12" fillId="2" borderId="41" xfId="4" applyNumberFormat="1" applyFont="1" applyFill="1" applyBorder="1" applyAlignment="1">
      <alignment horizontal="center"/>
    </xf>
    <xf numFmtId="0" fontId="12" fillId="2" borderId="0" xfId="4" applyNumberFormat="1" applyFont="1" applyFill="1" applyBorder="1"/>
    <xf numFmtId="0" fontId="12" fillId="2" borderId="10" xfId="4" applyNumberFormat="1" applyFont="1" applyFill="1" applyBorder="1"/>
    <xf numFmtId="0" fontId="22" fillId="2" borderId="0" xfId="4" applyNumberFormat="1" applyFont="1" applyFill="1" applyBorder="1" applyAlignment="1">
      <alignment horizontal="center"/>
    </xf>
    <xf numFmtId="49" fontId="12" fillId="2" borderId="10" xfId="4" applyNumberFormat="1" applyFont="1" applyFill="1" applyBorder="1"/>
    <xf numFmtId="0" fontId="1" fillId="2" borderId="0" xfId="4" applyNumberFormat="1" applyFont="1" applyFill="1" applyBorder="1"/>
    <xf numFmtId="0" fontId="12" fillId="2" borderId="4" xfId="4" applyNumberFormat="1" applyFont="1" applyFill="1" applyBorder="1"/>
    <xf numFmtId="0" fontId="12" fillId="2" borderId="24" xfId="4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horizontal="left"/>
    </xf>
    <xf numFmtId="0" fontId="3" fillId="4" borderId="0" xfId="0" applyFont="1" applyFill="1" applyBorder="1" applyAlignment="1">
      <alignment horizontal="center"/>
    </xf>
    <xf numFmtId="0" fontId="1" fillId="2" borderId="12" xfId="0" applyFont="1" applyFill="1" applyBorder="1"/>
    <xf numFmtId="0" fontId="0" fillId="2" borderId="16" xfId="0" applyFill="1" applyBorder="1" applyAlignment="1">
      <alignment horizontal="center"/>
    </xf>
    <xf numFmtId="0" fontId="1" fillId="2" borderId="10" xfId="0" applyFont="1" applyFill="1" applyBorder="1"/>
    <xf numFmtId="2" fontId="0" fillId="2" borderId="18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6" fillId="14" borderId="0" xfId="0" applyNumberFormat="1" applyFont="1" applyFill="1" applyBorder="1" applyAlignment="1" applyProtection="1">
      <alignment horizontal="center" vertical="justify" wrapText="1"/>
    </xf>
    <xf numFmtId="0" fontId="1" fillId="14" borderId="0" xfId="0" applyNumberFormat="1" applyFont="1" applyFill="1" applyBorder="1" applyAlignment="1" applyProtection="1">
      <alignment horizontal="center" vertical="justify" wrapText="1"/>
    </xf>
    <xf numFmtId="187" fontId="0" fillId="2" borderId="0" xfId="0" applyNumberFormat="1" applyFill="1" applyAlignment="1">
      <alignment horizontal="center"/>
    </xf>
    <xf numFmtId="188" fontId="0" fillId="2" borderId="0" xfId="0" applyNumberFormat="1" applyFill="1" applyAlignment="1">
      <alignment horizontal="center"/>
    </xf>
    <xf numFmtId="187" fontId="28" fillId="3" borderId="22" xfId="0" applyNumberFormat="1" applyFont="1" applyFill="1" applyBorder="1" applyAlignment="1" applyProtection="1">
      <alignment horizontal="center" vertical="center"/>
    </xf>
    <xf numFmtId="188" fontId="28" fillId="3" borderId="2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1" fontId="14" fillId="2" borderId="18" xfId="0" applyNumberFormat="1" applyFont="1" applyFill="1" applyBorder="1" applyAlignment="1">
      <alignment horizontal="center"/>
    </xf>
    <xf numFmtId="0" fontId="13" fillId="14" borderId="4" xfId="0" applyNumberFormat="1" applyFont="1" applyFill="1" applyBorder="1" applyAlignment="1" applyProtection="1">
      <alignment horizontal="center" vertical="center"/>
    </xf>
    <xf numFmtId="0" fontId="13" fillId="14" borderId="8" xfId="0" applyNumberFormat="1" applyFont="1" applyFill="1" applyBorder="1" applyAlignment="1" applyProtection="1">
      <alignment horizontal="center" vertical="center"/>
    </xf>
    <xf numFmtId="1" fontId="14" fillId="15" borderId="1" xfId="0" applyNumberFormat="1" applyFont="1" applyFill="1" applyBorder="1" applyAlignment="1" applyProtection="1">
      <alignment horizontal="center"/>
      <protection locked="0"/>
    </xf>
    <xf numFmtId="1" fontId="14" fillId="2" borderId="11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/>
    <xf numFmtId="2" fontId="8" fillId="3" borderId="0" xfId="0" applyNumberFormat="1" applyFont="1" applyFill="1"/>
    <xf numFmtId="2" fontId="3" fillId="3" borderId="0" xfId="0" applyNumberFormat="1" applyFont="1" applyFill="1"/>
    <xf numFmtId="2" fontId="27" fillId="3" borderId="0" xfId="0" applyNumberFormat="1" applyFont="1" applyFill="1"/>
    <xf numFmtId="2" fontId="10" fillId="4" borderId="49" xfId="0" applyNumberFormat="1" applyFont="1" applyFill="1" applyBorder="1" applyAlignment="1">
      <alignment horizontal="center" vertical="justify" wrapText="1"/>
    </xf>
    <xf numFmtId="2" fontId="10" fillId="4" borderId="1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Continuous" vertical="center"/>
    </xf>
    <xf numFmtId="2" fontId="10" fillId="5" borderId="6" xfId="0" applyNumberFormat="1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2" fontId="10" fillId="14" borderId="10" xfId="0" applyNumberFormat="1" applyFont="1" applyFill="1" applyBorder="1" applyAlignment="1">
      <alignment horizontal="center" vertical="center"/>
    </xf>
    <xf numFmtId="2" fontId="10" fillId="0" borderId="63" xfId="0" applyNumberFormat="1" applyFont="1" applyBorder="1" applyAlignment="1">
      <alignment horizontal="center" vertical="center"/>
    </xf>
    <xf numFmtId="2" fontId="3" fillId="0" borderId="0" xfId="0" applyNumberFormat="1" applyFont="1"/>
    <xf numFmtId="1" fontId="42" fillId="3" borderId="0" xfId="0" applyNumberFormat="1" applyFont="1" applyFill="1"/>
    <xf numFmtId="1" fontId="8" fillId="3" borderId="0" xfId="0" applyNumberFormat="1" applyFont="1" applyFill="1"/>
    <xf numFmtId="1" fontId="0" fillId="3" borderId="0" xfId="0" applyNumberFormat="1" applyFill="1"/>
    <xf numFmtId="1" fontId="25" fillId="3" borderId="0" xfId="0" applyNumberFormat="1" applyFont="1" applyFill="1"/>
    <xf numFmtId="1" fontId="32" fillId="4" borderId="49" xfId="0" applyNumberFormat="1" applyFont="1" applyFill="1" applyBorder="1" applyAlignment="1">
      <alignment horizontal="center" vertical="justify" wrapText="1"/>
    </xf>
    <xf numFmtId="1" fontId="2" fillId="4" borderId="35" xfId="0" applyNumberFormat="1" applyFont="1" applyFill="1" applyBorder="1" applyAlignment="1">
      <alignment horizontal="center" vertical="center"/>
    </xf>
    <xf numFmtId="1" fontId="10" fillId="5" borderId="6" xfId="0" applyNumberFormat="1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vertical="center"/>
    </xf>
    <xf numFmtId="1" fontId="0" fillId="0" borderId="0" xfId="0" applyNumberFormat="1"/>
    <xf numFmtId="0" fontId="126" fillId="24" borderId="0" xfId="0" applyFont="1" applyFill="1" applyAlignment="1">
      <alignment horizontal="right"/>
    </xf>
    <xf numFmtId="0" fontId="119" fillId="24" borderId="0" xfId="0" applyFont="1" applyFill="1" applyAlignment="1" applyProtection="1"/>
    <xf numFmtId="0" fontId="100" fillId="24" borderId="0" xfId="0" applyFont="1" applyFill="1"/>
    <xf numFmtId="0" fontId="127" fillId="24" borderId="0" xfId="0" applyFont="1" applyFill="1" applyAlignment="1">
      <alignment horizontal="center"/>
    </xf>
    <xf numFmtId="0" fontId="121" fillId="24" borderId="72" xfId="0" applyFont="1" applyFill="1" applyBorder="1"/>
    <xf numFmtId="0" fontId="121" fillId="24" borderId="7" xfId="0" applyFont="1" applyFill="1" applyBorder="1" applyAlignment="1">
      <alignment horizontal="center"/>
    </xf>
    <xf numFmtId="2" fontId="120" fillId="24" borderId="71" xfId="0" applyNumberFormat="1" applyFont="1" applyFill="1" applyBorder="1"/>
    <xf numFmtId="2" fontId="118" fillId="24" borderId="48" xfId="0" applyNumberFormat="1" applyFont="1" applyFill="1" applyBorder="1"/>
    <xf numFmtId="2" fontId="13" fillId="24" borderId="77" xfId="0" applyNumberFormat="1" applyFont="1" applyFill="1" applyBorder="1"/>
    <xf numFmtId="164" fontId="120" fillId="24" borderId="71" xfId="0" applyNumberFormat="1" applyFont="1" applyFill="1" applyBorder="1"/>
    <xf numFmtId="164" fontId="118" fillId="24" borderId="48" xfId="0" applyNumberFormat="1" applyFont="1" applyFill="1" applyBorder="1"/>
    <xf numFmtId="182" fontId="13" fillId="24" borderId="77" xfId="0" applyNumberFormat="1" applyFont="1" applyFill="1" applyBorder="1"/>
    <xf numFmtId="0" fontId="128" fillId="24" borderId="70" xfId="0" applyFont="1" applyFill="1" applyBorder="1" applyAlignment="1">
      <alignment horizontal="center"/>
    </xf>
    <xf numFmtId="0" fontId="128" fillId="24" borderId="22" xfId="0" applyFont="1" applyFill="1" applyBorder="1" applyAlignment="1">
      <alignment horizontal="center"/>
    </xf>
    <xf numFmtId="0" fontId="128" fillId="24" borderId="20" xfId="0" applyFont="1" applyFill="1" applyBorder="1" applyAlignment="1">
      <alignment horizontal="center"/>
    </xf>
    <xf numFmtId="0" fontId="13" fillId="24" borderId="71" xfId="0" applyFont="1" applyFill="1" applyBorder="1" applyAlignment="1">
      <alignment horizontal="right"/>
    </xf>
    <xf numFmtId="186" fontId="118" fillId="24" borderId="6" xfId="0" applyNumberFormat="1" applyFont="1" applyFill="1" applyBorder="1" applyAlignment="1">
      <alignment horizontal="center"/>
    </xf>
    <xf numFmtId="2" fontId="118" fillId="24" borderId="48" xfId="0" applyNumberFormat="1" applyFont="1" applyFill="1" applyBorder="1" applyAlignment="1">
      <alignment horizontal="center"/>
    </xf>
    <xf numFmtId="0" fontId="128" fillId="24" borderId="46" xfId="0" applyFont="1" applyFill="1" applyBorder="1" applyAlignment="1">
      <alignment horizontal="center"/>
    </xf>
    <xf numFmtId="2" fontId="13" fillId="24" borderId="28" xfId="0" applyNumberFormat="1" applyFont="1" applyFill="1" applyBorder="1" applyAlignment="1">
      <alignment horizontal="center"/>
    </xf>
    <xf numFmtId="2" fontId="13" fillId="24" borderId="23" xfId="0" applyNumberFormat="1" applyFont="1" applyFill="1" applyBorder="1" applyAlignment="1">
      <alignment horizontal="center"/>
    </xf>
    <xf numFmtId="0" fontId="126" fillId="17" borderId="0" xfId="0" applyFont="1" applyFill="1" applyAlignment="1">
      <alignment horizontal="right"/>
    </xf>
    <xf numFmtId="0" fontId="114" fillId="17" borderId="0" xfId="0" applyFont="1" applyFill="1" applyAlignment="1">
      <alignment horizontal="right"/>
    </xf>
    <xf numFmtId="0" fontId="119" fillId="17" borderId="0" xfId="0" applyFont="1" applyFill="1" applyAlignment="1" applyProtection="1"/>
    <xf numFmtId="0" fontId="129" fillId="3" borderId="39" xfId="0" applyFont="1" applyFill="1" applyBorder="1" applyAlignment="1">
      <alignment horizontal="center"/>
    </xf>
    <xf numFmtId="0" fontId="114" fillId="17" borderId="36" xfId="0" applyFont="1" applyFill="1" applyBorder="1" applyAlignment="1">
      <alignment horizontal="right"/>
    </xf>
    <xf numFmtId="1" fontId="14" fillId="3" borderId="38" xfId="0" applyNumberFormat="1" applyFont="1" applyFill="1" applyBorder="1"/>
    <xf numFmtId="0" fontId="13" fillId="17" borderId="71" xfId="0" applyFont="1" applyFill="1" applyBorder="1" applyAlignment="1">
      <alignment horizontal="right"/>
    </xf>
    <xf numFmtId="186" fontId="13" fillId="17" borderId="6" xfId="0" applyNumberFormat="1" applyFont="1" applyFill="1" applyBorder="1" applyAlignment="1">
      <alignment horizontal="center"/>
    </xf>
    <xf numFmtId="2" fontId="13" fillId="17" borderId="48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vertical="center"/>
    </xf>
    <xf numFmtId="0" fontId="2" fillId="16" borderId="0" xfId="0" applyFont="1" applyFill="1" applyBorder="1" applyAlignment="1" applyProtection="1">
      <alignment horizontal="center" vertical="center"/>
      <protection locked="0"/>
    </xf>
    <xf numFmtId="49" fontId="2" fillId="16" borderId="0" xfId="0" applyNumberFormat="1" applyFont="1" applyFill="1" applyBorder="1" applyAlignment="1" applyProtection="1">
      <alignment horizontal="center" vertical="center"/>
      <protection locked="0"/>
    </xf>
    <xf numFmtId="1" fontId="2" fillId="16" borderId="0" xfId="0" applyNumberFormat="1" applyFont="1" applyFill="1" applyBorder="1" applyAlignment="1" applyProtection="1">
      <alignment horizontal="center" vertical="center"/>
      <protection locked="0"/>
    </xf>
    <xf numFmtId="164" fontId="2" fillId="16" borderId="0" xfId="0" applyNumberFormat="1" applyFont="1" applyFill="1" applyBorder="1" applyAlignment="1" applyProtection="1">
      <alignment horizontal="center" vertical="center"/>
      <protection locked="0"/>
    </xf>
    <xf numFmtId="164" fontId="17" fillId="16" borderId="0" xfId="0" applyNumberFormat="1" applyFont="1" applyFill="1" applyBorder="1" applyAlignment="1" applyProtection="1">
      <alignment horizontal="center" vertical="center"/>
      <protection locked="0"/>
    </xf>
    <xf numFmtId="2" fontId="2" fillId="16" borderId="0" xfId="0" applyNumberFormat="1" applyFont="1" applyFill="1" applyBorder="1" applyAlignment="1" applyProtection="1">
      <alignment horizontal="center" vertical="center"/>
      <protection locked="0"/>
    </xf>
    <xf numFmtId="164" fontId="2" fillId="16" borderId="4" xfId="0" applyNumberFormat="1" applyFont="1" applyFill="1" applyBorder="1" applyAlignment="1" applyProtection="1">
      <alignment horizontal="center" vertical="center"/>
      <protection locked="0"/>
    </xf>
    <xf numFmtId="9" fontId="2" fillId="16" borderId="0" xfId="0" applyNumberFormat="1" applyFont="1" applyFill="1" applyBorder="1" applyAlignment="1" applyProtection="1">
      <alignment horizontal="center" vertical="center"/>
      <protection locked="0"/>
    </xf>
    <xf numFmtId="0" fontId="2" fillId="16" borderId="0" xfId="0" applyNumberFormat="1" applyFont="1" applyFill="1" applyBorder="1" applyAlignment="1" applyProtection="1">
      <alignment vertical="center"/>
      <protection locked="0"/>
    </xf>
    <xf numFmtId="0" fontId="87" fillId="16" borderId="0" xfId="0" applyFont="1" applyFill="1"/>
    <xf numFmtId="0" fontId="86" fillId="16" borderId="0" xfId="0" applyFont="1" applyFill="1"/>
    <xf numFmtId="0" fontId="86" fillId="16" borderId="0" xfId="0" applyFont="1" applyFill="1" applyAlignment="1"/>
    <xf numFmtId="0" fontId="130" fillId="16" borderId="0" xfId="1" applyFont="1" applyFill="1" applyAlignment="1" applyProtection="1">
      <protection locked="0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33" fillId="3" borderId="26" xfId="0" applyNumberFormat="1" applyFont="1" applyFill="1" applyBorder="1" applyAlignment="1" applyProtection="1">
      <alignment horizontal="center" vertical="center"/>
    </xf>
    <xf numFmtId="2" fontId="33" fillId="3" borderId="22" xfId="0" applyNumberFormat="1" applyFont="1" applyFill="1" applyBorder="1" applyAlignment="1" applyProtection="1">
      <alignment horizontal="center" vertical="center"/>
    </xf>
    <xf numFmtId="2" fontId="33" fillId="3" borderId="28" xfId="0" applyNumberFormat="1" applyFont="1" applyFill="1" applyBorder="1" applyAlignment="1" applyProtection="1">
      <alignment horizontal="center" vertical="center"/>
    </xf>
    <xf numFmtId="0" fontId="121" fillId="16" borderId="72" xfId="0" applyFont="1" applyFill="1" applyBorder="1"/>
    <xf numFmtId="0" fontId="121" fillId="16" borderId="7" xfId="0" applyFont="1" applyFill="1" applyBorder="1" applyAlignment="1">
      <alignment horizontal="center"/>
    </xf>
    <xf numFmtId="2" fontId="120" fillId="16" borderId="71" xfId="0" applyNumberFormat="1" applyFont="1" applyFill="1" applyBorder="1"/>
    <xf numFmtId="2" fontId="118" fillId="16" borderId="48" xfId="0" applyNumberFormat="1" applyFont="1" applyFill="1" applyBorder="1"/>
    <xf numFmtId="2" fontId="13" fillId="16" borderId="77" xfId="0" applyNumberFormat="1" applyFont="1" applyFill="1" applyBorder="1"/>
    <xf numFmtId="0" fontId="6" fillId="14" borderId="18" xfId="0" applyNumberFormat="1" applyFont="1" applyFill="1" applyBorder="1" applyAlignment="1" applyProtection="1">
      <alignment horizontal="center" vertical="justify" wrapText="1"/>
    </xf>
    <xf numFmtId="10" fontId="28" fillId="16" borderId="64" xfId="0" applyNumberFormat="1" applyFont="1" applyFill="1" applyBorder="1" applyAlignment="1" applyProtection="1">
      <alignment horizontal="center" vertical="center"/>
    </xf>
    <xf numFmtId="0" fontId="33" fillId="3" borderId="20" xfId="0" applyFont="1" applyFill="1" applyBorder="1" applyAlignment="1" applyProtection="1">
      <alignment horizontal="center" vertical="center" wrapText="1"/>
    </xf>
    <xf numFmtId="10" fontId="42" fillId="7" borderId="69" xfId="0" applyNumberFormat="1" applyFont="1" applyFill="1" applyBorder="1" applyAlignment="1" applyProtection="1">
      <alignment horizontal="center" vertical="center"/>
      <protection locked="0"/>
    </xf>
    <xf numFmtId="10" fontId="28" fillId="16" borderId="69" xfId="0" applyNumberFormat="1" applyFont="1" applyFill="1" applyBorder="1" applyAlignment="1" applyProtection="1">
      <alignment horizontal="center" vertical="center"/>
    </xf>
    <xf numFmtId="10" fontId="42" fillId="7" borderId="41" xfId="0" applyNumberFormat="1" applyFont="1" applyFill="1" applyBorder="1" applyAlignment="1" applyProtection="1">
      <alignment horizontal="center" vertical="center"/>
      <protection locked="0"/>
    </xf>
    <xf numFmtId="10" fontId="60" fillId="3" borderId="51" xfId="0" applyNumberFormat="1" applyFont="1" applyFill="1" applyBorder="1" applyAlignment="1" applyProtection="1">
      <alignment horizontal="center" vertical="center"/>
    </xf>
    <xf numFmtId="10" fontId="28" fillId="16" borderId="9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10" fontId="28" fillId="16" borderId="19" xfId="0" applyNumberFormat="1" applyFont="1" applyFill="1" applyBorder="1" applyAlignment="1" applyProtection="1">
      <alignment horizontal="center" vertical="center"/>
    </xf>
    <xf numFmtId="10" fontId="42" fillId="3" borderId="19" xfId="0" applyNumberFormat="1" applyFont="1" applyFill="1" applyBorder="1" applyAlignment="1" applyProtection="1">
      <alignment horizontal="center" vertical="center"/>
    </xf>
    <xf numFmtId="0" fontId="42" fillId="3" borderId="0" xfId="0" applyFont="1" applyFill="1" applyBorder="1" applyAlignment="1">
      <alignment horizontal="center" vertical="top"/>
    </xf>
    <xf numFmtId="0" fontId="42" fillId="3" borderId="64" xfId="0" applyFont="1" applyFill="1" applyBorder="1"/>
    <xf numFmtId="1" fontId="33" fillId="3" borderId="21" xfId="0" applyNumberFormat="1" applyFont="1" applyFill="1" applyBorder="1" applyAlignment="1" applyProtection="1">
      <alignment horizontal="center" vertical="center" wrapText="1"/>
    </xf>
    <xf numFmtId="0" fontId="60" fillId="3" borderId="70" xfId="0" applyFont="1" applyFill="1" applyBorder="1" applyAlignment="1" applyProtection="1">
      <alignment horizontal="center" vertical="center"/>
    </xf>
    <xf numFmtId="164" fontId="60" fillId="3" borderId="75" xfId="0" applyNumberFormat="1" applyFont="1" applyFill="1" applyBorder="1" applyAlignment="1" applyProtection="1">
      <alignment horizontal="center" vertical="justify" wrapText="1"/>
    </xf>
    <xf numFmtId="0" fontId="60" fillId="3" borderId="53" xfId="0" applyNumberFormat="1" applyFont="1" applyFill="1" applyBorder="1" applyAlignment="1" applyProtection="1">
      <alignment horizontal="center" vertical="center"/>
    </xf>
    <xf numFmtId="0" fontId="42" fillId="3" borderId="67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64" fontId="42" fillId="16" borderId="7" xfId="0" applyNumberFormat="1" applyFont="1" applyFill="1" applyBorder="1" applyAlignment="1" applyProtection="1">
      <alignment horizontal="center" vertical="center"/>
    </xf>
    <xf numFmtId="10" fontId="28" fillId="16" borderId="17" xfId="0" applyNumberFormat="1" applyFont="1" applyFill="1" applyBorder="1" applyAlignment="1" applyProtection="1">
      <alignment horizontal="center" vertical="center"/>
    </xf>
    <xf numFmtId="10" fontId="28" fillId="16" borderId="39" xfId="0" applyNumberFormat="1" applyFont="1" applyFill="1" applyBorder="1" applyAlignment="1" applyProtection="1">
      <alignment horizontal="center" vertical="center"/>
    </xf>
    <xf numFmtId="164" fontId="42" fillId="16" borderId="66" xfId="0" applyNumberFormat="1" applyFont="1" applyFill="1" applyBorder="1" applyAlignment="1" applyProtection="1">
      <alignment horizontal="center" vertical="center"/>
    </xf>
    <xf numFmtId="164" fontId="42" fillId="16" borderId="86" xfId="0" applyNumberFormat="1" applyFont="1" applyFill="1" applyBorder="1" applyAlignment="1" applyProtection="1">
      <alignment horizontal="center" vertical="center"/>
    </xf>
    <xf numFmtId="10" fontId="28" fillId="16" borderId="14" xfId="0" applyNumberFormat="1" applyFont="1" applyFill="1" applyBorder="1" applyAlignment="1" applyProtection="1">
      <alignment horizontal="center" vertical="center"/>
    </xf>
    <xf numFmtId="10" fontId="28" fillId="16" borderId="37" xfId="0" applyNumberFormat="1" applyFont="1" applyFill="1" applyBorder="1" applyAlignment="1" applyProtection="1">
      <alignment horizontal="center" vertical="center"/>
    </xf>
    <xf numFmtId="0" fontId="33" fillId="3" borderId="0" xfId="0" applyFont="1" applyFill="1" applyBorder="1" applyAlignment="1">
      <alignment horizontal="right" vertical="center"/>
    </xf>
    <xf numFmtId="10" fontId="13" fillId="3" borderId="65" xfId="0" applyNumberFormat="1" applyFont="1" applyFill="1" applyBorder="1"/>
    <xf numFmtId="10" fontId="14" fillId="3" borderId="87" xfId="0" applyNumberFormat="1" applyFont="1" applyFill="1" applyBorder="1"/>
    <xf numFmtId="10" fontId="3" fillId="0" borderId="0" xfId="5" applyNumberFormat="1" applyFont="1" applyBorder="1" applyAlignment="1" applyProtection="1">
      <alignment horizontal="center"/>
      <protection hidden="1"/>
    </xf>
    <xf numFmtId="10" fontId="1" fillId="0" borderId="0" xfId="5" applyNumberFormat="1" applyFont="1" applyBorder="1" applyAlignment="1" applyProtection="1">
      <alignment horizontal="center"/>
      <protection hidden="1"/>
    </xf>
    <xf numFmtId="164" fontId="3" fillId="0" borderId="0" xfId="5" applyNumberFormat="1" applyFont="1" applyBorder="1" applyAlignment="1" applyProtection="1">
      <alignment horizontal="center"/>
      <protection hidden="1"/>
    </xf>
    <xf numFmtId="0" fontId="0" fillId="0" borderId="0" xfId="0" applyAlignment="1"/>
    <xf numFmtId="167" fontId="50" fillId="3" borderId="0" xfId="0" applyNumberFormat="1" applyFont="1" applyFill="1" applyAlignment="1" applyProtection="1">
      <alignment horizontal="left" vertical="center"/>
      <protection locked="0"/>
    </xf>
    <xf numFmtId="0" fontId="50" fillId="3" borderId="0" xfId="0" applyFont="1" applyFill="1" applyAlignment="1">
      <alignment horizontal="left" vertical="center"/>
    </xf>
    <xf numFmtId="0" fontId="1" fillId="3" borderId="0" xfId="3" applyFill="1"/>
    <xf numFmtId="0" fontId="69" fillId="3" borderId="0" xfId="3" applyFont="1" applyFill="1"/>
    <xf numFmtId="0" fontId="16" fillId="3" borderId="6" xfId="3" applyFont="1" applyFill="1" applyBorder="1" applyAlignment="1">
      <alignment horizontal="left" vertical="center"/>
    </xf>
    <xf numFmtId="0" fontId="16" fillId="3" borderId="6" xfId="3" applyFont="1" applyFill="1" applyBorder="1" applyAlignment="1">
      <alignment horizontal="center" vertical="top" wrapText="1"/>
    </xf>
    <xf numFmtId="0" fontId="1" fillId="3" borderId="34" xfId="3" applyFill="1" applyBorder="1" applyAlignment="1">
      <alignment horizontal="left" vertical="center"/>
    </xf>
    <xf numFmtId="0" fontId="67" fillId="3" borderId="34" xfId="3" applyFont="1" applyFill="1" applyBorder="1" applyAlignment="1">
      <alignment horizontal="center" wrapText="1"/>
    </xf>
    <xf numFmtId="0" fontId="17" fillId="3" borderId="34" xfId="3" applyFont="1" applyFill="1" applyBorder="1" applyAlignment="1">
      <alignment horizontal="center" vertical="top" wrapText="1"/>
    </xf>
    <xf numFmtId="0" fontId="1" fillId="3" borderId="8" xfId="3" applyFill="1" applyBorder="1" applyAlignment="1">
      <alignment horizontal="left" vertical="center"/>
    </xf>
    <xf numFmtId="0" fontId="67" fillId="3" borderId="8" xfId="3" applyFont="1" applyFill="1" applyBorder="1" applyAlignment="1">
      <alignment horizontal="center" vertical="top"/>
    </xf>
    <xf numFmtId="0" fontId="1" fillId="3" borderId="8" xfId="3" applyFill="1" applyBorder="1"/>
    <xf numFmtId="0" fontId="17" fillId="3" borderId="8" xfId="3" applyFont="1" applyFill="1" applyBorder="1" applyAlignment="1">
      <alignment horizontal="center" vertical="top" wrapText="1"/>
    </xf>
    <xf numFmtId="0" fontId="1" fillId="3" borderId="1" xfId="3" applyFill="1" applyBorder="1" applyAlignment="1">
      <alignment horizontal="left" vertical="center"/>
    </xf>
    <xf numFmtId="0" fontId="67" fillId="3" borderId="1" xfId="3" applyFont="1" applyFill="1" applyBorder="1" applyAlignment="1">
      <alignment horizontal="center" vertical="top" wrapText="1"/>
    </xf>
    <xf numFmtId="0" fontId="17" fillId="3" borderId="1" xfId="3" applyFont="1" applyFill="1" applyBorder="1" applyAlignment="1">
      <alignment horizontal="center" vertical="top" wrapText="1"/>
    </xf>
    <xf numFmtId="0" fontId="1" fillId="3" borderId="10" xfId="3" applyFill="1" applyBorder="1"/>
    <xf numFmtId="49" fontId="2" fillId="3" borderId="34" xfId="3" applyNumberFormat="1" applyFont="1" applyFill="1" applyBorder="1" applyAlignment="1">
      <alignment horizontal="center" vertical="center" wrapText="1"/>
    </xf>
    <xf numFmtId="49" fontId="2" fillId="3" borderId="8" xfId="3" applyNumberFormat="1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top" wrapText="1"/>
    </xf>
    <xf numFmtId="0" fontId="103" fillId="3" borderId="0" xfId="3" applyFont="1" applyFill="1"/>
    <xf numFmtId="0" fontId="70" fillId="3" borderId="0" xfId="3" applyFont="1" applyFill="1"/>
    <xf numFmtId="0" fontId="1" fillId="3" borderId="0" xfId="3" applyFill="1" applyAlignment="1">
      <alignment vertical="top"/>
    </xf>
    <xf numFmtId="0" fontId="82" fillId="3" borderId="0" xfId="3" applyFont="1" applyFill="1" applyAlignment="1">
      <alignment vertical="top"/>
    </xf>
    <xf numFmtId="0" fontId="74" fillId="3" borderId="0" xfId="3" applyFont="1" applyFill="1" applyAlignment="1">
      <alignment vertical="top"/>
    </xf>
    <xf numFmtId="0" fontId="74" fillId="3" borderId="0" xfId="3" applyFont="1" applyFill="1"/>
    <xf numFmtId="0" fontId="35" fillId="3" borderId="0" xfId="3" applyFont="1" applyFill="1"/>
    <xf numFmtId="0" fontId="2" fillId="3" borderId="0" xfId="3" applyFont="1" applyFill="1"/>
    <xf numFmtId="0" fontId="50" fillId="0" borderId="0" xfId="0" applyFont="1" applyFill="1" applyBorder="1" applyAlignment="1" applyProtection="1">
      <alignment horizontal="center" vertical="center"/>
      <protection locked="0"/>
    </xf>
    <xf numFmtId="2" fontId="114" fillId="16" borderId="36" xfId="0" applyNumberFormat="1" applyFont="1" applyFill="1" applyBorder="1" applyAlignment="1">
      <alignment horizontal="right"/>
    </xf>
    <xf numFmtId="164" fontId="33" fillId="3" borderId="26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>
      <alignment horizontal="centerContinuous" vertical="center"/>
    </xf>
    <xf numFmtId="0" fontId="13" fillId="7" borderId="13" xfId="0" applyNumberFormat="1" applyFont="1" applyFill="1" applyBorder="1" applyAlignment="1">
      <alignment horizontal="center" vertical="center"/>
    </xf>
    <xf numFmtId="0" fontId="50" fillId="3" borderId="1" xfId="0" applyNumberFormat="1" applyFont="1" applyFill="1" applyBorder="1" applyAlignment="1" applyProtection="1">
      <alignment horizontal="center" vertical="center"/>
      <protection locked="0"/>
    </xf>
    <xf numFmtId="0" fontId="128" fillId="16" borderId="0" xfId="0" applyFont="1" applyFill="1" applyBorder="1" applyAlignment="1">
      <alignment horizontal="center"/>
    </xf>
    <xf numFmtId="2" fontId="118" fillId="16" borderId="0" xfId="0" applyNumberFormat="1" applyFont="1" applyFill="1" applyBorder="1" applyAlignment="1">
      <alignment horizontal="center"/>
    </xf>
    <xf numFmtId="2" fontId="13" fillId="16" borderId="0" xfId="0" applyNumberFormat="1" applyFont="1" applyFill="1" applyBorder="1" applyAlignment="1">
      <alignment horizontal="center"/>
    </xf>
    <xf numFmtId="2" fontId="114" fillId="17" borderId="37" xfId="0" applyNumberFormat="1" applyFont="1" applyFill="1" applyBorder="1" applyAlignment="1">
      <alignment horizontal="right"/>
    </xf>
    <xf numFmtId="2" fontId="105" fillId="3" borderId="0" xfId="0" applyNumberFormat="1" applyFont="1" applyFill="1" applyBorder="1" applyAlignment="1" applyProtection="1">
      <alignment horizontal="center" vertical="center"/>
    </xf>
    <xf numFmtId="2" fontId="110" fillId="0" borderId="0" xfId="0" applyNumberFormat="1" applyFont="1" applyBorder="1" applyAlignment="1">
      <alignment horizontal="center" vertical="center"/>
    </xf>
    <xf numFmtId="0" fontId="2" fillId="16" borderId="0" xfId="0" applyNumberFormat="1" applyFont="1" applyFill="1" applyBorder="1" applyAlignment="1" applyProtection="1">
      <alignment vertical="center"/>
    </xf>
    <xf numFmtId="0" fontId="106" fillId="16" borderId="0" xfId="0" applyFont="1" applyFill="1" applyAlignment="1">
      <alignment horizontal="center"/>
    </xf>
    <xf numFmtId="0" fontId="2" fillId="16" borderId="41" xfId="0" applyFont="1" applyFill="1" applyBorder="1" applyAlignment="1">
      <alignment vertical="center"/>
    </xf>
    <xf numFmtId="1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2" fontId="10" fillId="16" borderId="10" xfId="0" applyNumberFormat="1" applyFont="1" applyFill="1" applyBorder="1" applyAlignment="1">
      <alignment horizontal="center" vertical="center"/>
    </xf>
    <xf numFmtId="164" fontId="2" fillId="16" borderId="10" xfId="0" applyNumberFormat="1" applyFont="1" applyFill="1" applyBorder="1" applyAlignment="1">
      <alignment horizontal="center" vertical="center"/>
    </xf>
    <xf numFmtId="164" fontId="10" fillId="16" borderId="10" xfId="0" applyNumberFormat="1" applyFont="1" applyFill="1" applyBorder="1" applyAlignment="1">
      <alignment horizontal="center" vertical="center"/>
    </xf>
    <xf numFmtId="44" fontId="2" fillId="16" borderId="8" xfId="6" applyFont="1" applyFill="1" applyBorder="1" applyAlignment="1" applyProtection="1">
      <alignment horizontal="center"/>
      <protection locked="0"/>
    </xf>
    <xf numFmtId="2" fontId="110" fillId="16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2" fillId="16" borderId="0" xfId="0" applyNumberFormat="1" applyFont="1" applyFill="1" applyBorder="1" applyAlignment="1" applyProtection="1">
      <alignment horizontal="center" vertical="center"/>
    </xf>
    <xf numFmtId="1" fontId="2" fillId="16" borderId="0" xfId="0" applyNumberFormat="1" applyFont="1" applyFill="1" applyBorder="1" applyAlignment="1" applyProtection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9" fontId="57" fillId="0" borderId="0" xfId="0" applyNumberFormat="1" applyFont="1" applyFill="1" applyBorder="1" applyAlignment="1" applyProtection="1">
      <alignment horizontal="center" vertical="center"/>
    </xf>
    <xf numFmtId="172" fontId="6" fillId="3" borderId="0" xfId="0" applyNumberFormat="1" applyFont="1" applyFill="1" applyBorder="1" applyAlignment="1">
      <alignment horizontal="center"/>
    </xf>
    <xf numFmtId="1" fontId="120" fillId="16" borderId="71" xfId="0" applyNumberFormat="1" applyFont="1" applyFill="1" applyBorder="1"/>
    <xf numFmtId="1" fontId="118" fillId="16" borderId="48" xfId="0" applyNumberFormat="1" applyFont="1" applyFill="1" applyBorder="1"/>
    <xf numFmtId="0" fontId="114" fillId="16" borderId="37" xfId="0" applyFont="1" applyFill="1" applyBorder="1" applyAlignment="1">
      <alignment horizontal="right"/>
    </xf>
    <xf numFmtId="183" fontId="13" fillId="16" borderId="77" xfId="0" applyNumberFormat="1" applyFont="1" applyFill="1" applyBorder="1"/>
    <xf numFmtId="164" fontId="120" fillId="16" borderId="71" xfId="0" applyNumberFormat="1" applyFont="1" applyFill="1" applyBorder="1"/>
    <xf numFmtId="164" fontId="118" fillId="16" borderId="48" xfId="0" applyNumberFormat="1" applyFont="1" applyFill="1" applyBorder="1"/>
    <xf numFmtId="182" fontId="13" fillId="16" borderId="77" xfId="0" applyNumberFormat="1" applyFont="1" applyFill="1" applyBorder="1"/>
    <xf numFmtId="1" fontId="42" fillId="3" borderId="22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88" xfId="0" applyFill="1" applyBorder="1"/>
    <xf numFmtId="0" fontId="76" fillId="2" borderId="10" xfId="0" applyFont="1" applyFill="1" applyBorder="1"/>
    <xf numFmtId="0" fontId="74" fillId="2" borderId="10" xfId="0" applyFont="1" applyFill="1" applyBorder="1"/>
    <xf numFmtId="0" fontId="6" fillId="2" borderId="10" xfId="0" applyFont="1" applyFill="1" applyBorder="1"/>
    <xf numFmtId="0" fontId="0" fillId="2" borderId="10" xfId="0" applyFill="1" applyBorder="1"/>
    <xf numFmtId="0" fontId="75" fillId="2" borderId="10" xfId="0" applyFont="1" applyFill="1" applyBorder="1"/>
    <xf numFmtId="0" fontId="0" fillId="2" borderId="10" xfId="0" applyFill="1" applyBorder="1" applyAlignment="1"/>
    <xf numFmtId="0" fontId="0" fillId="2" borderId="12" xfId="0" applyFill="1" applyBorder="1"/>
    <xf numFmtId="0" fontId="35" fillId="2" borderId="10" xfId="0" applyFont="1" applyFill="1" applyBorder="1"/>
    <xf numFmtId="0" fontId="50" fillId="14" borderId="0" xfId="0" applyFont="1" applyFill="1" applyProtection="1"/>
    <xf numFmtId="0" fontId="14" fillId="2" borderId="0" xfId="0" applyNumberFormat="1" applyFont="1" applyFill="1" applyProtection="1"/>
    <xf numFmtId="0" fontId="14" fillId="2" borderId="0" xfId="0" applyNumberFormat="1" applyFont="1" applyFill="1" applyBorder="1" applyProtection="1"/>
    <xf numFmtId="0" fontId="14" fillId="2" borderId="8" xfId="0" applyNumberFormat="1" applyFont="1" applyFill="1" applyBorder="1" applyAlignment="1" applyProtection="1">
      <alignment horizontal="center"/>
    </xf>
    <xf numFmtId="0" fontId="14" fillId="2" borderId="1" xfId="0" applyNumberFormat="1" applyFont="1" applyFill="1" applyBorder="1" applyAlignment="1" applyProtection="1">
      <alignment horizontal="center"/>
    </xf>
    <xf numFmtId="0" fontId="115" fillId="14" borderId="0" xfId="0" applyNumberFormat="1" applyFont="1" applyFill="1" applyProtection="1"/>
    <xf numFmtId="0" fontId="60" fillId="3" borderId="68" xfId="0" applyFont="1" applyFill="1" applyBorder="1" applyAlignment="1" applyProtection="1">
      <alignment horizontal="center" vertical="center"/>
    </xf>
    <xf numFmtId="0" fontId="60" fillId="3" borderId="19" xfId="0" applyFont="1" applyFill="1" applyBorder="1" applyAlignment="1" applyProtection="1">
      <alignment vertical="center"/>
    </xf>
    <xf numFmtId="164" fontId="28" fillId="3" borderId="30" xfId="0" applyNumberFormat="1" applyFont="1" applyFill="1" applyBorder="1" applyAlignment="1" applyProtection="1">
      <alignment horizontal="center" vertical="center"/>
    </xf>
    <xf numFmtId="164" fontId="28" fillId="3" borderId="23" xfId="0" applyNumberFormat="1" applyFont="1" applyFill="1" applyBorder="1" applyAlignment="1" applyProtection="1">
      <alignment horizontal="center" vertical="center"/>
    </xf>
    <xf numFmtId="189" fontId="14" fillId="3" borderId="37" xfId="0" applyNumberFormat="1" applyFont="1" applyFill="1" applyBorder="1"/>
    <xf numFmtId="190" fontId="14" fillId="3" borderId="37" xfId="0" applyNumberFormat="1" applyFont="1" applyFill="1" applyBorder="1"/>
    <xf numFmtId="191" fontId="14" fillId="3" borderId="77" xfId="0" applyNumberFormat="1" applyFont="1" applyFill="1" applyBorder="1"/>
    <xf numFmtId="49" fontId="2" fillId="3" borderId="10" xfId="3" applyNumberFormat="1" applyFont="1" applyFill="1" applyBorder="1" applyAlignment="1">
      <alignment horizontal="center" vertical="center" wrapText="1"/>
    </xf>
    <xf numFmtId="49" fontId="2" fillId="3" borderId="4" xfId="3" applyNumberFormat="1" applyFont="1" applyFill="1" applyBorder="1" applyAlignment="1">
      <alignment horizontal="center" vertical="center" wrapText="1"/>
    </xf>
    <xf numFmtId="49" fontId="2" fillId="3" borderId="16" xfId="3" applyNumberFormat="1" applyFont="1" applyFill="1" applyBorder="1" applyAlignment="1">
      <alignment horizontal="center" vertical="center" wrapText="1"/>
    </xf>
    <xf numFmtId="0" fontId="1" fillId="3" borderId="0" xfId="3" applyFill="1" applyBorder="1" applyAlignment="1">
      <alignment vertical="center"/>
    </xf>
    <xf numFmtId="0" fontId="28" fillId="3" borderId="0" xfId="3" applyFont="1" applyFill="1"/>
    <xf numFmtId="0" fontId="23" fillId="3" borderId="0" xfId="3" applyFont="1" applyFill="1"/>
    <xf numFmtId="49" fontId="2" fillId="3" borderId="34" xfId="3" applyNumberFormat="1" applyFont="1" applyFill="1" applyBorder="1" applyAlignment="1">
      <alignment horizontal="left" vertical="center"/>
    </xf>
    <xf numFmtId="49" fontId="2" fillId="3" borderId="34" xfId="3" applyNumberFormat="1" applyFont="1" applyFill="1" applyBorder="1" applyAlignment="1">
      <alignment vertical="center" wrapText="1"/>
    </xf>
    <xf numFmtId="49" fontId="2" fillId="3" borderId="8" xfId="3" applyNumberFormat="1" applyFont="1" applyFill="1" applyBorder="1" applyAlignment="1">
      <alignment horizontal="left" vertical="center"/>
    </xf>
    <xf numFmtId="49" fontId="2" fillId="3" borderId="8" xfId="3" applyNumberFormat="1" applyFont="1" applyFill="1" applyBorder="1" applyAlignment="1">
      <alignment vertical="center" wrapText="1"/>
    </xf>
    <xf numFmtId="49" fontId="133" fillId="3" borderId="8" xfId="3" applyNumberFormat="1" applyFont="1" applyFill="1" applyBorder="1" applyAlignment="1">
      <alignment horizontal="center" vertical="center" wrapText="1"/>
    </xf>
    <xf numFmtId="49" fontId="110" fillId="3" borderId="8" xfId="3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left" vertical="center"/>
    </xf>
    <xf numFmtId="49" fontId="2" fillId="3" borderId="1" xfId="3" applyNumberFormat="1" applyFont="1" applyFill="1" applyBorder="1" applyAlignment="1">
      <alignment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49" fontId="110" fillId="3" borderId="8" xfId="3" applyNumberFormat="1" applyFont="1" applyFill="1" applyBorder="1" applyAlignment="1">
      <alignment horizontal="left" vertical="center"/>
    </xf>
    <xf numFmtId="49" fontId="110" fillId="3" borderId="8" xfId="3" applyNumberFormat="1" applyFont="1" applyFill="1" applyBorder="1" applyAlignment="1">
      <alignment vertical="center" wrapText="1"/>
    </xf>
    <xf numFmtId="49" fontId="110" fillId="3" borderId="1" xfId="3" applyNumberFormat="1" applyFont="1" applyFill="1" applyBorder="1" applyAlignment="1">
      <alignment horizontal="left" vertical="center"/>
    </xf>
    <xf numFmtId="49" fontId="110" fillId="3" borderId="1" xfId="3" applyNumberFormat="1" applyFont="1" applyFill="1" applyBorder="1" applyAlignment="1">
      <alignment vertical="center" wrapText="1"/>
    </xf>
    <xf numFmtId="49" fontId="110" fillId="3" borderId="1" xfId="3" applyNumberFormat="1" applyFont="1" applyFill="1" applyBorder="1" applyAlignment="1">
      <alignment horizontal="center" vertical="center" wrapText="1"/>
    </xf>
    <xf numFmtId="49" fontId="110" fillId="3" borderId="34" xfId="3" applyNumberFormat="1" applyFont="1" applyFill="1" applyBorder="1" applyAlignment="1">
      <alignment horizontal="left" vertical="center"/>
    </xf>
    <xf numFmtId="49" fontId="110" fillId="3" borderId="34" xfId="3" applyNumberFormat="1" applyFont="1" applyFill="1" applyBorder="1" applyAlignment="1">
      <alignment vertical="center" wrapText="1"/>
    </xf>
    <xf numFmtId="49" fontId="110" fillId="3" borderId="34" xfId="3" applyNumberFormat="1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49" fontId="110" fillId="3" borderId="10" xfId="3" applyNumberFormat="1" applyFont="1" applyFill="1" applyBorder="1" applyAlignment="1">
      <alignment horizontal="center" vertical="center" wrapText="1"/>
    </xf>
    <xf numFmtId="49" fontId="110" fillId="3" borderId="8" xfId="3" applyNumberFormat="1" applyFont="1" applyFill="1" applyBorder="1" applyAlignment="1">
      <alignment horizontal="center" vertical="top" wrapText="1"/>
    </xf>
    <xf numFmtId="49" fontId="110" fillId="3" borderId="1" xfId="3" applyNumberFormat="1" applyFont="1" applyFill="1" applyBorder="1" applyAlignment="1">
      <alignment horizontal="center" vertical="top" wrapText="1"/>
    </xf>
    <xf numFmtId="49" fontId="110" fillId="0" borderId="13" xfId="3" applyNumberFormat="1" applyFont="1" applyFill="1" applyBorder="1" applyAlignment="1">
      <alignment vertical="center" wrapText="1"/>
    </xf>
    <xf numFmtId="49" fontId="110" fillId="0" borderId="34" xfId="3" applyNumberFormat="1" applyFont="1" applyFill="1" applyBorder="1" applyAlignment="1">
      <alignment horizontal="center" vertical="center" wrapText="1"/>
    </xf>
    <xf numFmtId="49" fontId="110" fillId="3" borderId="4" xfId="3" applyNumberFormat="1" applyFont="1" applyFill="1" applyBorder="1" applyAlignment="1">
      <alignment vertical="center" wrapText="1"/>
    </xf>
    <xf numFmtId="49" fontId="110" fillId="3" borderId="11" xfId="3" applyNumberFormat="1" applyFont="1" applyFill="1" applyBorder="1" applyAlignment="1">
      <alignment vertical="center" wrapText="1"/>
    </xf>
    <xf numFmtId="49" fontId="110" fillId="0" borderId="8" xfId="3" applyNumberFormat="1" applyFont="1" applyFill="1" applyBorder="1" applyAlignment="1">
      <alignment horizontal="center" vertical="top" wrapText="1"/>
    </xf>
    <xf numFmtId="49" fontId="110" fillId="0" borderId="1" xfId="3" applyNumberFormat="1" applyFont="1" applyFill="1" applyBorder="1" applyAlignment="1">
      <alignment horizontal="center" vertical="top" wrapText="1"/>
    </xf>
    <xf numFmtId="49" fontId="110" fillId="3" borderId="18" xfId="3" applyNumberFormat="1" applyFont="1" applyFill="1" applyBorder="1" applyAlignment="1">
      <alignment vertical="center" wrapText="1"/>
    </xf>
    <xf numFmtId="49" fontId="110" fillId="0" borderId="13" xfId="3" applyNumberFormat="1" applyFont="1" applyFill="1" applyBorder="1" applyAlignment="1">
      <alignment horizontal="center" vertical="top" wrapText="1"/>
    </xf>
    <xf numFmtId="49" fontId="110" fillId="0" borderId="10" xfId="3" applyNumberFormat="1" applyFont="1" applyFill="1" applyBorder="1" applyAlignment="1">
      <alignment horizontal="center" vertical="top" wrapText="1"/>
    </xf>
    <xf numFmtId="49" fontId="110" fillId="0" borderId="34" xfId="3" applyNumberFormat="1" applyFont="1" applyFill="1" applyBorder="1" applyAlignment="1">
      <alignment horizontal="center" vertical="top" wrapText="1"/>
    </xf>
    <xf numFmtId="49" fontId="110" fillId="3" borderId="0" xfId="3" applyNumberFormat="1" applyFont="1" applyFill="1" applyBorder="1" applyAlignment="1">
      <alignment vertical="center" wrapText="1"/>
    </xf>
    <xf numFmtId="49" fontId="110" fillId="0" borderId="8" xfId="3" applyNumberFormat="1" applyFont="1" applyFill="1" applyBorder="1" applyAlignment="1">
      <alignment horizontal="center" vertical="center" wrapText="1"/>
    </xf>
    <xf numFmtId="49" fontId="110" fillId="0" borderId="0" xfId="3" applyNumberFormat="1" applyFont="1" applyFill="1" applyBorder="1" applyAlignment="1">
      <alignment horizontal="center" vertical="top" wrapText="1"/>
    </xf>
    <xf numFmtId="49" fontId="110" fillId="3" borderId="3" xfId="3" applyNumberFormat="1" applyFont="1" applyFill="1" applyBorder="1" applyAlignment="1">
      <alignment vertical="center" wrapText="1"/>
    </xf>
    <xf numFmtId="49" fontId="110" fillId="0" borderId="12" xfId="3" applyNumberFormat="1" applyFont="1" applyFill="1" applyBorder="1" applyAlignment="1">
      <alignment horizontal="center" vertical="top" wrapText="1"/>
    </xf>
    <xf numFmtId="49" fontId="110" fillId="3" borderId="6" xfId="3" applyNumberFormat="1" applyFont="1" applyFill="1" applyBorder="1" applyAlignment="1">
      <alignment vertical="center" wrapText="1"/>
    </xf>
    <xf numFmtId="49" fontId="110" fillId="0" borderId="6" xfId="3" applyNumberFormat="1" applyFont="1" applyFill="1" applyBorder="1" applyAlignment="1">
      <alignment horizontal="center" vertical="center" wrapText="1"/>
    </xf>
    <xf numFmtId="49" fontId="110" fillId="3" borderId="6" xfId="3" applyNumberFormat="1" applyFont="1" applyFill="1" applyBorder="1" applyAlignment="1">
      <alignment horizontal="center" vertical="center" wrapText="1"/>
    </xf>
    <xf numFmtId="49" fontId="110" fillId="3" borderId="6" xfId="3" applyNumberFormat="1" applyFont="1" applyFill="1" applyBorder="1" applyAlignment="1">
      <alignment horizontal="left" vertical="center"/>
    </xf>
    <xf numFmtId="49" fontId="110" fillId="0" borderId="6" xfId="3" applyNumberFormat="1" applyFont="1" applyFill="1" applyBorder="1" applyAlignment="1">
      <alignment vertical="top" wrapText="1"/>
    </xf>
    <xf numFmtId="49" fontId="110" fillId="0" borderId="6" xfId="3" applyNumberFormat="1" applyFont="1" applyFill="1" applyBorder="1" applyAlignment="1">
      <alignment horizontal="center" vertical="top" wrapText="1"/>
    </xf>
    <xf numFmtId="49" fontId="136" fillId="3" borderId="6" xfId="3" applyNumberFormat="1" applyFont="1" applyFill="1" applyBorder="1" applyAlignment="1">
      <alignment horizontal="left" vertical="center"/>
    </xf>
    <xf numFmtId="49" fontId="136" fillId="3" borderId="6" xfId="3" applyNumberFormat="1" applyFont="1" applyFill="1" applyBorder="1" applyAlignment="1">
      <alignment horizontal="center" vertical="top" wrapText="1"/>
    </xf>
    <xf numFmtId="49" fontId="108" fillId="3" borderId="34" xfId="3" applyNumberFormat="1" applyFont="1" applyFill="1" applyBorder="1" applyAlignment="1">
      <alignment horizontal="left" vertical="center"/>
    </xf>
    <xf numFmtId="49" fontId="111" fillId="3" borderId="34" xfId="3" applyNumberFormat="1" applyFont="1" applyFill="1" applyBorder="1" applyAlignment="1">
      <alignment horizontal="center" wrapText="1"/>
    </xf>
    <xf numFmtId="49" fontId="137" fillId="3" borderId="34" xfId="3" applyNumberFormat="1" applyFont="1" applyFill="1" applyBorder="1" applyAlignment="1">
      <alignment horizontal="center" vertical="top" wrapText="1"/>
    </xf>
    <xf numFmtId="49" fontId="108" fillId="3" borderId="8" xfId="3" applyNumberFormat="1" applyFont="1" applyFill="1" applyBorder="1" applyAlignment="1">
      <alignment horizontal="left" vertical="center"/>
    </xf>
    <xf numFmtId="49" fontId="111" fillId="3" borderId="8" xfId="3" applyNumberFormat="1" applyFont="1" applyFill="1" applyBorder="1" applyAlignment="1">
      <alignment horizontal="center" vertical="top"/>
    </xf>
    <xf numFmtId="49" fontId="108" fillId="3" borderId="8" xfId="3" applyNumberFormat="1" applyFont="1" applyFill="1" applyBorder="1"/>
    <xf numFmtId="49" fontId="137" fillId="3" borderId="8" xfId="3" applyNumberFormat="1" applyFont="1" applyFill="1" applyBorder="1" applyAlignment="1">
      <alignment horizontal="center" vertical="top" wrapText="1"/>
    </xf>
    <xf numFmtId="49" fontId="108" fillId="3" borderId="1" xfId="3" applyNumberFormat="1" applyFont="1" applyFill="1" applyBorder="1" applyAlignment="1">
      <alignment horizontal="left" vertical="center"/>
    </xf>
    <xf numFmtId="49" fontId="111" fillId="3" borderId="1" xfId="3" applyNumberFormat="1" applyFont="1" applyFill="1" applyBorder="1" applyAlignment="1">
      <alignment horizontal="center" vertical="top" wrapText="1"/>
    </xf>
    <xf numFmtId="49" fontId="137" fillId="3" borderId="1" xfId="3" applyNumberFormat="1" applyFont="1" applyFill="1" applyBorder="1" applyAlignment="1">
      <alignment horizontal="center" vertical="top" wrapText="1"/>
    </xf>
    <xf numFmtId="49" fontId="110" fillId="3" borderId="16" xfId="3" applyNumberFormat="1" applyFont="1" applyFill="1" applyBorder="1" applyAlignment="1">
      <alignment horizontal="center" vertical="center" wrapText="1"/>
    </xf>
    <xf numFmtId="49" fontId="110" fillId="0" borderId="8" xfId="3" applyNumberFormat="1" applyFont="1" applyBorder="1" applyAlignment="1">
      <alignment horizontal="center" vertical="center" wrapText="1"/>
    </xf>
    <xf numFmtId="49" fontId="110" fillId="3" borderId="12" xfId="3" applyNumberFormat="1" applyFont="1" applyFill="1" applyBorder="1" applyAlignment="1">
      <alignment horizontal="center" vertical="center" wrapText="1"/>
    </xf>
    <xf numFmtId="49" fontId="110" fillId="3" borderId="4" xfId="3" applyNumberFormat="1" applyFont="1" applyFill="1" applyBorder="1" applyAlignment="1">
      <alignment horizontal="center" vertical="center" wrapText="1"/>
    </xf>
    <xf numFmtId="49" fontId="138" fillId="3" borderId="8" xfId="3" applyNumberFormat="1" applyFont="1" applyFill="1" applyBorder="1" applyAlignment="1">
      <alignment horizontal="center" vertical="center" wrapText="1"/>
    </xf>
    <xf numFmtId="49" fontId="2" fillId="3" borderId="12" xfId="3" applyNumberFormat="1" applyFont="1" applyFill="1" applyBorder="1" applyAlignment="1">
      <alignment horizontal="center" vertical="center" wrapText="1"/>
    </xf>
    <xf numFmtId="49" fontId="2" fillId="3" borderId="8" xfId="3" applyNumberFormat="1" applyFont="1" applyFill="1" applyBorder="1" applyAlignment="1">
      <alignment horizontal="center" vertical="top" wrapText="1"/>
    </xf>
    <xf numFmtId="2" fontId="28" fillId="7" borderId="26" xfId="0" applyNumberFormat="1" applyFont="1" applyFill="1" applyBorder="1" applyAlignment="1" applyProtection="1">
      <alignment horizontal="center" vertical="center"/>
      <protection locked="0"/>
    </xf>
    <xf numFmtId="1" fontId="114" fillId="24" borderId="0" xfId="0" applyNumberFormat="1" applyFont="1" applyFill="1" applyAlignment="1"/>
    <xf numFmtId="0" fontId="0" fillId="0" borderId="0" xfId="0" applyAlignment="1"/>
    <xf numFmtId="0" fontId="131" fillId="25" borderId="0" xfId="0" applyFont="1" applyFill="1" applyAlignment="1" applyProtection="1">
      <protection locked="0"/>
    </xf>
    <xf numFmtId="0" fontId="0" fillId="25" borderId="0" xfId="0" applyFill="1" applyAlignment="1" applyProtection="1">
      <protection locked="0"/>
    </xf>
    <xf numFmtId="2" fontId="3" fillId="0" borderId="40" xfId="5" applyNumberFormat="1" applyFont="1" applyBorder="1" applyAlignment="1" applyProtection="1">
      <alignment horizontal="center"/>
      <protection hidden="1"/>
    </xf>
    <xf numFmtId="0" fontId="3" fillId="0" borderId="76" xfId="0" applyFont="1" applyBorder="1" applyAlignment="1">
      <alignment horizontal="center"/>
    </xf>
    <xf numFmtId="2" fontId="121" fillId="3" borderId="5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" fontId="114" fillId="17" borderId="0" xfId="0" applyNumberFormat="1" applyFont="1" applyFill="1" applyAlignment="1"/>
    <xf numFmtId="0" fontId="114" fillId="17" borderId="0" xfId="0" applyFont="1" applyFill="1" applyAlignment="1"/>
    <xf numFmtId="0" fontId="0" fillId="17" borderId="0" xfId="0" applyFill="1" applyAlignment="1"/>
    <xf numFmtId="0" fontId="114" fillId="17" borderId="0" xfId="0" applyFont="1" applyFill="1" applyAlignment="1" applyProtection="1">
      <protection locked="0"/>
    </xf>
    <xf numFmtId="0" fontId="42" fillId="16" borderId="41" xfId="0" applyFont="1" applyFill="1" applyBorder="1" applyAlignment="1" applyProtection="1">
      <alignment vertical="center"/>
    </xf>
    <xf numFmtId="0" fontId="0" fillId="16" borderId="0" xfId="0" applyFill="1" applyBorder="1" applyAlignment="1" applyProtection="1">
      <alignment vertical="center"/>
    </xf>
    <xf numFmtId="0" fontId="60" fillId="3" borderId="2" xfId="0" applyFont="1" applyFill="1" applyBorder="1" applyAlignment="1">
      <alignment horizontal="center" vertical="center"/>
    </xf>
    <xf numFmtId="0" fontId="33" fillId="3" borderId="56" xfId="0" applyFont="1" applyFill="1" applyBorder="1" applyAlignment="1" applyProtection="1">
      <alignment horizontal="center" vertical="center"/>
    </xf>
    <xf numFmtId="0" fontId="42" fillId="3" borderId="42" xfId="0" applyFont="1" applyFill="1" applyBorder="1" applyAlignment="1">
      <alignment horizontal="center" vertical="center"/>
    </xf>
    <xf numFmtId="0" fontId="42" fillId="16" borderId="40" xfId="0" applyFont="1" applyFill="1" applyBorder="1" applyAlignment="1" applyProtection="1">
      <alignment vertical="center"/>
    </xf>
    <xf numFmtId="0" fontId="0" fillId="16" borderId="25" xfId="0" applyFill="1" applyBorder="1" applyAlignment="1" applyProtection="1">
      <alignment vertical="center"/>
    </xf>
    <xf numFmtId="0" fontId="60" fillId="3" borderId="68" xfId="0" applyFont="1" applyFill="1" applyBorder="1" applyAlignment="1" applyProtection="1">
      <alignment horizontal="center" vertical="center"/>
    </xf>
    <xf numFmtId="0" fontId="0" fillId="0" borderId="55" xfId="0" applyBorder="1" applyAlignment="1">
      <alignment horizontal="center" vertical="center"/>
    </xf>
    <xf numFmtId="0" fontId="60" fillId="3" borderId="56" xfId="0" applyFont="1" applyFill="1" applyBorder="1" applyAlignment="1" applyProtection="1">
      <alignment horizontal="center" vertical="center"/>
    </xf>
    <xf numFmtId="0" fontId="60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2" fillId="3" borderId="86" xfId="0" applyFont="1" applyFill="1" applyBorder="1" applyAlignment="1" applyProtection="1">
      <alignment vertical="center"/>
    </xf>
    <xf numFmtId="0" fontId="42" fillId="3" borderId="86" xfId="0" applyFont="1" applyFill="1" applyBorder="1" applyAlignment="1">
      <alignment vertical="center"/>
    </xf>
    <xf numFmtId="0" fontId="33" fillId="3" borderId="56" xfId="0" applyFont="1" applyFill="1" applyBorder="1" applyAlignment="1" applyProtection="1">
      <alignment vertical="center"/>
    </xf>
    <xf numFmtId="0" fontId="60" fillId="3" borderId="19" xfId="0" applyFont="1" applyFill="1" applyBorder="1" applyAlignment="1" applyProtection="1">
      <alignment vertical="center"/>
    </xf>
    <xf numFmtId="0" fontId="42" fillId="16" borderId="68" xfId="0" applyFont="1" applyFill="1" applyBorder="1" applyAlignment="1" applyProtection="1">
      <alignment vertical="center"/>
    </xf>
    <xf numFmtId="0" fontId="0" fillId="16" borderId="2" xfId="0" applyFill="1" applyBorder="1" applyAlignment="1" applyProtection="1">
      <alignment vertical="center"/>
    </xf>
    <xf numFmtId="0" fontId="60" fillId="3" borderId="68" xfId="0" applyFont="1" applyFill="1" applyBorder="1" applyAlignment="1" applyProtection="1">
      <alignment vertical="center"/>
    </xf>
    <xf numFmtId="0" fontId="42" fillId="3" borderId="19" xfId="0" applyFont="1" applyFill="1" applyBorder="1" applyAlignment="1">
      <alignment vertical="center"/>
    </xf>
    <xf numFmtId="1" fontId="60" fillId="16" borderId="66" xfId="0" applyNumberFormat="1" applyFont="1" applyFill="1" applyBorder="1" applyAlignment="1" applyProtection="1">
      <alignment horizontal="left" vertical="center"/>
    </xf>
    <xf numFmtId="0" fontId="42" fillId="16" borderId="66" xfId="0" applyFont="1" applyFill="1" applyBorder="1" applyAlignment="1" applyProtection="1">
      <alignment vertical="center"/>
    </xf>
    <xf numFmtId="0" fontId="33" fillId="3" borderId="63" xfId="0" applyNumberFormat="1" applyFont="1" applyFill="1" applyBorder="1" applyAlignment="1" applyProtection="1">
      <alignment horizontal="center" vertical="center"/>
    </xf>
    <xf numFmtId="0" fontId="60" fillId="3" borderId="2" xfId="0" applyNumberFormat="1" applyFont="1" applyFill="1" applyBorder="1" applyAlignment="1" applyProtection="1">
      <alignment horizontal="center" vertical="center"/>
    </xf>
    <xf numFmtId="0" fontId="60" fillId="3" borderId="5" xfId="0" applyNumberFormat="1" applyFont="1" applyFill="1" applyBorder="1" applyAlignment="1" applyProtection="1">
      <alignment horizontal="center" vertical="center"/>
    </xf>
    <xf numFmtId="0" fontId="60" fillId="3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3" fillId="3" borderId="2" xfId="0" applyNumberFormat="1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center" vertical="center"/>
    </xf>
    <xf numFmtId="0" fontId="60" fillId="3" borderId="87" xfId="0" applyFont="1" applyFill="1" applyBorder="1" applyAlignment="1" applyProtection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2" fillId="7" borderId="41" xfId="0" applyFont="1" applyFill="1" applyBorder="1" applyAlignment="1" applyProtection="1">
      <alignment vertical="center"/>
      <protection locked="0"/>
    </xf>
    <xf numFmtId="0" fontId="0" fillId="7" borderId="24" xfId="0" applyFill="1" applyBorder="1" applyAlignment="1" applyProtection="1">
      <alignment vertical="center"/>
      <protection locked="0"/>
    </xf>
    <xf numFmtId="0" fontId="60" fillId="3" borderId="56" xfId="0" applyFont="1" applyFill="1" applyBorder="1" applyAlignment="1" applyProtection="1">
      <alignment vertical="center"/>
    </xf>
    <xf numFmtId="0" fontId="60" fillId="3" borderId="4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3" borderId="73" xfId="0" applyFont="1" applyFill="1" applyBorder="1" applyAlignment="1" applyProtection="1">
      <alignment vertical="center"/>
    </xf>
    <xf numFmtId="0" fontId="42" fillId="7" borderId="40" xfId="0" applyFont="1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0" fillId="3" borderId="2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2" fillId="7" borderId="68" xfId="0" applyFont="1" applyFill="1" applyBorder="1" applyAlignment="1" applyProtection="1">
      <alignment vertical="center"/>
      <protection locked="0"/>
    </xf>
    <xf numFmtId="0" fontId="0" fillId="7" borderId="55" xfId="0" applyFill="1" applyBorder="1" applyAlignment="1" applyProtection="1">
      <alignment vertical="center"/>
      <protection locked="0"/>
    </xf>
    <xf numFmtId="0" fontId="33" fillId="3" borderId="56" xfId="0" applyFont="1" applyFill="1" applyBorder="1" applyAlignment="1">
      <alignment horizontal="center" vertical="center"/>
    </xf>
    <xf numFmtId="0" fontId="28" fillId="7" borderId="40" xfId="0" applyNumberFormat="1" applyFont="1" applyFill="1" applyBorder="1" applyAlignment="1" applyProtection="1">
      <alignment vertical="center"/>
      <protection locked="0"/>
    </xf>
    <xf numFmtId="0" fontId="42" fillId="7" borderId="27" xfId="0" applyFont="1" applyFill="1" applyBorder="1" applyAlignment="1" applyProtection="1">
      <alignment vertical="center"/>
      <protection locked="0"/>
    </xf>
    <xf numFmtId="0" fontId="42" fillId="7" borderId="68" xfId="0" applyNumberFormat="1" applyFont="1" applyFill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1" fontId="60" fillId="7" borderId="64" xfId="0" applyNumberFormat="1" applyFont="1" applyFill="1" applyBorder="1" applyAlignment="1" applyProtection="1">
      <alignment horizontal="left" vertical="center"/>
      <protection locked="0"/>
    </xf>
    <xf numFmtId="0" fontId="42" fillId="7" borderId="66" xfId="0" applyFont="1" applyFill="1" applyBorder="1" applyAlignment="1" applyProtection="1">
      <alignment vertical="center"/>
      <protection locked="0"/>
    </xf>
    <xf numFmtId="0" fontId="42" fillId="3" borderId="0" xfId="0" applyFont="1" applyFill="1" applyAlignment="1">
      <alignment vertical="top"/>
    </xf>
    <xf numFmtId="0" fontId="14" fillId="16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60" fillId="3" borderId="18" xfId="0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3" borderId="86" xfId="0" applyFont="1" applyFill="1" applyBorder="1" applyAlignment="1" applyProtection="1">
      <alignment horizontal="center" vertical="center"/>
    </xf>
    <xf numFmtId="0" fontId="60" fillId="3" borderId="78" xfId="0" applyFont="1" applyFill="1" applyBorder="1" applyAlignment="1" applyProtection="1">
      <alignment horizontal="center" vertical="center"/>
    </xf>
    <xf numFmtId="2" fontId="62" fillId="3" borderId="87" xfId="0" applyNumberFormat="1" applyFont="1" applyFill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1" fontId="50" fillId="3" borderId="0" xfId="0" applyNumberFormat="1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49" fontId="50" fillId="3" borderId="0" xfId="0" applyNumberFormat="1" applyFont="1" applyFill="1" applyAlignment="1" applyProtection="1">
      <alignment horizontal="left" vertical="center"/>
      <protection locked="0"/>
    </xf>
    <xf numFmtId="167" fontId="50" fillId="3" borderId="0" xfId="0" applyNumberFormat="1" applyFont="1" applyFill="1" applyAlignment="1" applyProtection="1">
      <alignment horizontal="left" vertical="center"/>
      <protection locked="0"/>
    </xf>
    <xf numFmtId="0" fontId="60" fillId="3" borderId="73" xfId="0" applyFont="1" applyFill="1" applyBorder="1" applyAlignment="1" applyProtection="1">
      <alignment horizontal="center" vertical="center"/>
    </xf>
    <xf numFmtId="0" fontId="57" fillId="3" borderId="0" xfId="0" applyFont="1" applyFill="1" applyAlignment="1">
      <alignment horizontal="right" vertical="center"/>
    </xf>
    <xf numFmtId="49" fontId="50" fillId="3" borderId="0" xfId="0" applyNumberFormat="1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50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16" fillId="15" borderId="16" xfId="0" applyFont="1" applyFill="1" applyBorder="1" applyAlignment="1" applyProtection="1">
      <alignment horizontal="center" vertical="center"/>
    </xf>
    <xf numFmtId="0" fontId="16" fillId="15" borderId="18" xfId="0" applyFont="1" applyFill="1" applyBorder="1" applyAlignment="1" applyProtection="1">
      <alignment horizontal="center" vertical="center"/>
    </xf>
    <xf numFmtId="0" fontId="16" fillId="15" borderId="13" xfId="0" applyFont="1" applyFill="1" applyBorder="1" applyAlignment="1" applyProtection="1">
      <alignment horizontal="center" vertical="center"/>
    </xf>
    <xf numFmtId="1" fontId="16" fillId="4" borderId="18" xfId="0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34" fillId="3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44" fontId="10" fillId="4" borderId="49" xfId="6" applyFont="1" applyFill="1" applyBorder="1" applyAlignment="1">
      <alignment horizontal="center" vertical="top" wrapText="1"/>
    </xf>
    <xf numFmtId="44" fontId="0" fillId="0" borderId="1" xfId="6" applyFont="1" applyBorder="1" applyAlignment="1">
      <alignment horizontal="center"/>
    </xf>
    <xf numFmtId="0" fontId="13" fillId="14" borderId="18" xfId="0" applyNumberFormat="1" applyFont="1" applyFill="1" applyBorder="1" applyAlignment="1" applyProtection="1">
      <alignment horizontal="center" vertical="justify" wrapText="1"/>
    </xf>
    <xf numFmtId="0" fontId="14" fillId="0" borderId="0" xfId="0" applyFont="1" applyBorder="1" applyAlignment="1">
      <alignment horizontal="center"/>
    </xf>
    <xf numFmtId="0" fontId="13" fillId="14" borderId="16" xfId="0" applyNumberFormat="1" applyFont="1" applyFill="1" applyBorder="1" applyAlignment="1" applyProtection="1">
      <alignment horizontal="center" vertical="justify" wrapText="1"/>
    </xf>
    <xf numFmtId="0" fontId="0" fillId="0" borderId="10" xfId="0" applyBorder="1" applyAlignment="1">
      <alignment horizontal="center" vertical="justify"/>
    </xf>
    <xf numFmtId="0" fontId="13" fillId="14" borderId="13" xfId="0" applyNumberFormat="1" applyFont="1" applyFill="1" applyBorder="1" applyAlignment="1" applyProtection="1">
      <alignment horizontal="center" vertical="justify" wrapText="1"/>
    </xf>
    <xf numFmtId="0" fontId="0" fillId="0" borderId="4" xfId="0" applyBorder="1" applyAlignment="1">
      <alignment horizontal="center" vertical="justify"/>
    </xf>
    <xf numFmtId="0" fontId="13" fillId="14" borderId="18" xfId="0" applyNumberFormat="1" applyFont="1" applyFill="1" applyBorder="1" applyAlignment="1" applyProtection="1">
      <alignment horizontal="center" vertical="top" wrapText="1"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14" borderId="13" xfId="0" applyNumberFormat="1" applyFont="1" applyFill="1" applyBorder="1" applyAlignment="1" applyProtection="1">
      <alignment horizontal="center" vertical="top" wrapText="1"/>
    </xf>
    <xf numFmtId="0" fontId="13" fillId="14" borderId="34" xfId="0" applyNumberFormat="1" applyFont="1" applyFill="1" applyBorder="1" applyAlignment="1" applyProtection="1">
      <alignment horizontal="center" vertical="justify" wrapText="1"/>
    </xf>
    <xf numFmtId="0" fontId="14" fillId="0" borderId="8" xfId="0" applyFont="1" applyBorder="1" applyAlignment="1" applyProtection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ill="1" applyAlignment="1"/>
    <xf numFmtId="0" fontId="1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4" applyNumberFormat="1" applyFont="1" applyFill="1" applyBorder="1" applyAlignment="1">
      <alignment horizontal="center"/>
    </xf>
    <xf numFmtId="0" fontId="1" fillId="0" borderId="0" xfId="4" applyBorder="1" applyAlignment="1">
      <alignment horizontal="center"/>
    </xf>
    <xf numFmtId="49" fontId="12" fillId="2" borderId="88" xfId="4" applyNumberFormat="1" applyFont="1" applyFill="1" applyBorder="1" applyAlignment="1">
      <alignment horizontal="center" vertical="center"/>
    </xf>
    <xf numFmtId="0" fontId="1" fillId="0" borderId="25" xfId="4" applyBorder="1" applyAlignment="1">
      <alignment horizontal="center" vertical="center"/>
    </xf>
    <xf numFmtId="0" fontId="1" fillId="0" borderId="27" xfId="4" applyBorder="1" applyAlignment="1">
      <alignment horizontal="center" vertical="center"/>
    </xf>
    <xf numFmtId="0" fontId="12" fillId="2" borderId="40" xfId="4" applyNumberFormat="1" applyFont="1" applyFill="1" applyBorder="1" applyAlignment="1">
      <alignment horizontal="center" vertical="center"/>
    </xf>
    <xf numFmtId="0" fontId="1" fillId="0" borderId="76" xfId="4" applyBorder="1" applyAlignment="1">
      <alignment horizontal="center" vertical="center"/>
    </xf>
    <xf numFmtId="0" fontId="102" fillId="2" borderId="0" xfId="0" applyNumberFormat="1" applyFont="1" applyFill="1" applyBorder="1" applyAlignment="1">
      <alignment horizontal="center"/>
    </xf>
    <xf numFmtId="0" fontId="102" fillId="0" borderId="0" xfId="0" applyFont="1" applyAlignment="1">
      <alignment horizontal="center"/>
    </xf>
    <xf numFmtId="0" fontId="12" fillId="2" borderId="0" xfId="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12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 wrapText="1"/>
    </xf>
    <xf numFmtId="0" fontId="13" fillId="2" borderId="34" xfId="0" applyNumberFormat="1" applyFont="1" applyFill="1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13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15" xfId="0" applyBorder="1" applyAlignment="1"/>
    <xf numFmtId="0" fontId="23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2" borderId="0" xfId="0" applyFont="1" applyFill="1" applyAlignment="1">
      <alignment horizontal="center"/>
    </xf>
    <xf numFmtId="0" fontId="6" fillId="14" borderId="0" xfId="0" applyNumberFormat="1" applyFont="1" applyFill="1" applyBorder="1" applyAlignment="1" applyProtection="1">
      <alignment horizontal="center" vertical="justify" wrapText="1"/>
    </xf>
    <xf numFmtId="0" fontId="0" fillId="0" borderId="0" xfId="0" applyAlignment="1">
      <alignment horizontal="center" wrapText="1"/>
    </xf>
    <xf numFmtId="164" fontId="6" fillId="14" borderId="0" xfId="0" applyNumberFormat="1" applyFont="1" applyFill="1" applyBorder="1" applyAlignment="1" applyProtection="1">
      <alignment horizontal="center" vertical="justify" wrapText="1"/>
    </xf>
    <xf numFmtId="0" fontId="0" fillId="0" borderId="2" xfId="0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72" fontId="1" fillId="3" borderId="0" xfId="0" applyNumberFormat="1" applyFont="1" applyFill="1" applyBorder="1" applyAlignment="1">
      <alignment horizontal="center"/>
    </xf>
    <xf numFmtId="172" fontId="6" fillId="3" borderId="0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0" fillId="0" borderId="0" xfId="0" applyBorder="1" applyAlignment="1"/>
    <xf numFmtId="0" fontId="1" fillId="3" borderId="0" xfId="0" applyFont="1" applyFill="1" applyBorder="1" applyAlignment="1"/>
    <xf numFmtId="49" fontId="0" fillId="3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9" fillId="3" borderId="0" xfId="0" applyNumberFormat="1" applyFont="1" applyFill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39" fillId="3" borderId="0" xfId="0" applyNumberFormat="1" applyFont="1" applyFill="1" applyAlignment="1">
      <alignment horizontal="center" vertical="center"/>
    </xf>
    <xf numFmtId="0" fontId="92" fillId="3" borderId="0" xfId="0" applyFont="1" applyFill="1" applyBorder="1" applyAlignment="1" applyProtection="1">
      <alignment horizontal="center" vertical="center"/>
    </xf>
    <xf numFmtId="0" fontId="55" fillId="3" borderId="0" xfId="0" applyFont="1" applyFill="1" applyBorder="1" applyAlignment="1" applyProtection="1">
      <alignment horizontal="center" vertical="center"/>
    </xf>
    <xf numFmtId="0" fontId="56" fillId="0" borderId="0" xfId="0" applyFont="1" applyBorder="1" applyAlignment="1" applyProtection="1"/>
    <xf numFmtId="0" fontId="33" fillId="3" borderId="34" xfId="0" applyFont="1" applyFill="1" applyBorder="1" applyAlignment="1" applyProtection="1">
      <alignment vertical="center" wrapText="1"/>
    </xf>
    <xf numFmtId="0" fontId="52" fillId="3" borderId="8" xfId="0" applyFont="1" applyFill="1" applyBorder="1" applyAlignment="1" applyProtection="1">
      <alignment vertical="center" wrapText="1"/>
    </xf>
    <xf numFmtId="0" fontId="52" fillId="3" borderId="1" xfId="0" applyFont="1" applyFill="1" applyBorder="1" applyAlignment="1" applyProtection="1">
      <alignment vertical="center" wrapText="1"/>
    </xf>
    <xf numFmtId="0" fontId="33" fillId="3" borderId="16" xfId="0" applyFont="1" applyFill="1" applyBorder="1" applyAlignment="1" applyProtection="1">
      <alignment vertical="center" wrapText="1"/>
    </xf>
    <xf numFmtId="0" fontId="33" fillId="3" borderId="10" xfId="0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49" fillId="3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3" fillId="3" borderId="12" xfId="0" applyFont="1" applyFill="1" applyBorder="1" applyAlignment="1" applyProtection="1">
      <alignment vertical="center" wrapText="1"/>
    </xf>
    <xf numFmtId="0" fontId="33" fillId="3" borderId="8" xfId="0" applyFont="1" applyFill="1" applyBorder="1" applyAlignment="1" applyProtection="1">
      <alignment vertical="center" wrapText="1"/>
    </xf>
    <xf numFmtId="0" fontId="33" fillId="3" borderId="1" xfId="0" applyFont="1" applyFill="1" applyBorder="1" applyAlignment="1" applyProtection="1">
      <alignment vertical="center" wrapText="1"/>
    </xf>
    <xf numFmtId="0" fontId="73" fillId="3" borderId="4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0" xfId="0" applyFont="1" applyFill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2" fontId="34" fillId="3" borderId="0" xfId="0" applyNumberFormat="1" applyFont="1" applyFill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88" xfId="0" applyFont="1" applyFill="1" applyBorder="1" applyAlignment="1">
      <alignment horizontal="center" vertical="center" wrapText="1"/>
    </xf>
    <xf numFmtId="0" fontId="3" fillId="9" borderId="76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0" fillId="9" borderId="5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73" xfId="0" applyFill="1" applyBorder="1" applyAlignment="1" applyProtection="1">
      <alignment horizontal="left" vertical="center" wrapText="1"/>
    </xf>
    <xf numFmtId="0" fontId="0" fillId="0" borderId="86" xfId="0" applyBorder="1"/>
    <xf numFmtId="0" fontId="0" fillId="0" borderId="78" xfId="0" applyBorder="1"/>
    <xf numFmtId="0" fontId="78" fillId="3" borderId="0" xfId="0" applyFont="1" applyFill="1" applyAlignment="1" applyProtection="1">
      <alignment horizontal="center" vertical="center" wrapText="1"/>
    </xf>
    <xf numFmtId="0" fontId="0" fillId="0" borderId="0" xfId="0"/>
    <xf numFmtId="0" fontId="3" fillId="5" borderId="72" xfId="0" applyFont="1" applyFill="1" applyBorder="1" applyAlignment="1" applyProtection="1">
      <alignment horizontal="center" vertical="center" wrapText="1"/>
    </xf>
    <xf numFmtId="0" fontId="0" fillId="0" borderId="7" xfId="0" applyBorder="1"/>
    <xf numFmtId="0" fontId="0" fillId="0" borderId="77" xfId="0" applyBorder="1"/>
    <xf numFmtId="0" fontId="3" fillId="4" borderId="72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left" vertical="center" wrapText="1"/>
    </xf>
    <xf numFmtId="0" fontId="0" fillId="0" borderId="2" xfId="0" applyBorder="1"/>
    <xf numFmtId="0" fontId="0" fillId="0" borderId="5" xfId="0" applyBorder="1"/>
    <xf numFmtId="0" fontId="3" fillId="0" borderId="63" xfId="0" applyFont="1" applyFill="1" applyBorder="1" applyAlignment="1" applyProtection="1">
      <alignment horizontal="center" vertical="center" wrapText="1"/>
    </xf>
    <xf numFmtId="0" fontId="0" fillId="0" borderId="55" xfId="0" applyBorder="1"/>
    <xf numFmtId="0" fontId="6" fillId="3" borderId="73" xfId="0" applyFont="1" applyFill="1" applyBorder="1" applyAlignment="1" applyProtection="1">
      <alignment horizontal="left" vertical="center" wrapText="1"/>
    </xf>
    <xf numFmtId="0" fontId="0" fillId="0" borderId="18" xfId="0" applyBorder="1"/>
    <xf numFmtId="0" fontId="0" fillId="0" borderId="3" xfId="0" applyBorder="1"/>
    <xf numFmtId="49" fontId="137" fillId="3" borderId="16" xfId="3" applyNumberFormat="1" applyFont="1" applyFill="1" applyBorder="1" applyAlignment="1">
      <alignment vertical="top" wrapText="1"/>
    </xf>
    <xf numFmtId="49" fontId="137" fillId="3" borderId="13" xfId="3" applyNumberFormat="1" applyFont="1" applyFill="1" applyBorder="1" applyAlignment="1">
      <alignment vertical="top" wrapText="1"/>
    </xf>
    <xf numFmtId="49" fontId="137" fillId="3" borderId="10" xfId="3" applyNumberFormat="1" applyFont="1" applyFill="1" applyBorder="1" applyAlignment="1">
      <alignment vertical="top" wrapText="1"/>
    </xf>
    <xf numFmtId="49" fontId="137" fillId="3" borderId="4" xfId="3" applyNumberFormat="1" applyFont="1" applyFill="1" applyBorder="1" applyAlignment="1">
      <alignment vertical="top" wrapText="1"/>
    </xf>
    <xf numFmtId="49" fontId="137" fillId="3" borderId="12" xfId="3" applyNumberFormat="1" applyFont="1" applyFill="1" applyBorder="1" applyAlignment="1">
      <alignment vertical="top" wrapText="1"/>
    </xf>
    <xf numFmtId="49" fontId="137" fillId="3" borderId="11" xfId="3" applyNumberFormat="1" applyFont="1" applyFill="1" applyBorder="1" applyAlignment="1">
      <alignment vertical="top" wrapText="1"/>
    </xf>
    <xf numFmtId="0" fontId="132" fillId="3" borderId="0" xfId="3" applyFont="1" applyFill="1" applyAlignment="1">
      <alignment horizontal="center"/>
    </xf>
    <xf numFmtId="0" fontId="23" fillId="0" borderId="0" xfId="3" applyFont="1" applyAlignment="1">
      <alignment horizontal="center"/>
    </xf>
    <xf numFmtId="0" fontId="16" fillId="3" borderId="35" xfId="3" applyFont="1" applyFill="1" applyBorder="1" applyAlignment="1">
      <alignment vertical="top" wrapText="1"/>
    </xf>
    <xf numFmtId="0" fontId="16" fillId="3" borderId="15" xfId="3" applyFont="1" applyFill="1" applyBorder="1" applyAlignment="1">
      <alignment vertical="top" wrapText="1"/>
    </xf>
    <xf numFmtId="0" fontId="16" fillId="3" borderId="35" xfId="3" applyFont="1" applyFill="1" applyBorder="1" applyAlignment="1">
      <alignment horizontal="center" vertical="top" wrapText="1"/>
    </xf>
    <xf numFmtId="0" fontId="16" fillId="3" borderId="15" xfId="3" applyFont="1" applyFill="1" applyBorder="1" applyAlignment="1">
      <alignment horizontal="center" vertical="top" wrapText="1"/>
    </xf>
    <xf numFmtId="0" fontId="17" fillId="3" borderId="16" xfId="3" applyFont="1" applyFill="1" applyBorder="1" applyAlignment="1">
      <alignment vertical="top" wrapText="1"/>
    </xf>
    <xf numFmtId="0" fontId="17" fillId="3" borderId="13" xfId="3" applyFont="1" applyFill="1" applyBorder="1" applyAlignment="1">
      <alignment vertical="top" wrapText="1"/>
    </xf>
    <xf numFmtId="0" fontId="17" fillId="3" borderId="10" xfId="3" applyFont="1" applyFill="1" applyBorder="1" applyAlignment="1">
      <alignment vertical="top" wrapText="1"/>
    </xf>
    <xf numFmtId="0" fontId="17" fillId="3" borderId="4" xfId="3" applyFont="1" applyFill="1" applyBorder="1" applyAlignment="1">
      <alignment vertical="top" wrapText="1"/>
    </xf>
    <xf numFmtId="0" fontId="17" fillId="3" borderId="12" xfId="3" applyFont="1" applyFill="1" applyBorder="1" applyAlignment="1">
      <alignment vertical="top" wrapText="1"/>
    </xf>
    <xf numFmtId="0" fontId="17" fillId="3" borderId="11" xfId="3" applyFont="1" applyFill="1" applyBorder="1" applyAlignment="1">
      <alignment vertical="top" wrapText="1"/>
    </xf>
    <xf numFmtId="49" fontId="110" fillId="3" borderId="8" xfId="3" applyNumberFormat="1" applyFont="1" applyFill="1" applyBorder="1" applyAlignment="1">
      <alignment horizontal="center" vertical="top" wrapText="1"/>
    </xf>
    <xf numFmtId="49" fontId="110" fillId="3" borderId="1" xfId="3" applyNumberFormat="1" applyFont="1" applyFill="1" applyBorder="1" applyAlignment="1">
      <alignment horizontal="center" vertical="top" wrapText="1"/>
    </xf>
    <xf numFmtId="49" fontId="110" fillId="0" borderId="34" xfId="3" applyNumberFormat="1" applyFont="1" applyFill="1" applyBorder="1" applyAlignment="1">
      <alignment vertical="distributed" wrapText="1"/>
    </xf>
    <xf numFmtId="0" fontId="1" fillId="0" borderId="8" xfId="3" applyBorder="1" applyAlignment="1">
      <alignment vertical="distributed" wrapText="1"/>
    </xf>
    <xf numFmtId="49" fontId="108" fillId="3" borderId="0" xfId="3" applyNumberFormat="1" applyFont="1" applyFill="1" applyBorder="1" applyAlignment="1">
      <alignment vertical="center"/>
    </xf>
    <xf numFmtId="49" fontId="115" fillId="0" borderId="0" xfId="3" applyNumberFormat="1" applyFont="1" applyBorder="1" applyAlignment="1">
      <alignment vertical="center"/>
    </xf>
    <xf numFmtId="49" fontId="136" fillId="3" borderId="35" xfId="3" applyNumberFormat="1" applyFont="1" applyFill="1" applyBorder="1" applyAlignment="1">
      <alignment vertical="center" wrapText="1"/>
    </xf>
    <xf numFmtId="49" fontId="108" fillId="0" borderId="15" xfId="3" applyNumberFormat="1" applyFont="1" applyBorder="1" applyAlignment="1">
      <alignment vertical="center" wrapText="1"/>
    </xf>
    <xf numFmtId="49" fontId="136" fillId="3" borderId="16" xfId="3" applyNumberFormat="1" applyFont="1" applyFill="1" applyBorder="1" applyAlignment="1">
      <alignment horizontal="center" vertical="top" wrapText="1"/>
    </xf>
    <xf numFmtId="49" fontId="136" fillId="3" borderId="13" xfId="3" applyNumberFormat="1" applyFont="1" applyFill="1" applyBorder="1" applyAlignment="1">
      <alignment horizontal="center" vertical="top" wrapText="1"/>
    </xf>
    <xf numFmtId="49" fontId="136" fillId="3" borderId="35" xfId="3" applyNumberFormat="1" applyFont="1" applyFill="1" applyBorder="1" applyAlignment="1">
      <alignment horizontal="center" vertical="top" wrapText="1"/>
    </xf>
    <xf numFmtId="49" fontId="136" fillId="3" borderId="15" xfId="3" applyNumberFormat="1" applyFont="1" applyFill="1" applyBorder="1" applyAlignment="1">
      <alignment horizontal="center" vertical="top" wrapText="1"/>
    </xf>
    <xf numFmtId="49" fontId="110" fillId="3" borderId="16" xfId="3" applyNumberFormat="1" applyFont="1" applyFill="1" applyBorder="1" applyAlignment="1">
      <alignment horizontal="center" vertical="center" wrapText="1"/>
    </xf>
    <xf numFmtId="49" fontId="110" fillId="3" borderId="13" xfId="3" applyNumberFormat="1" applyFont="1" applyFill="1" applyBorder="1" applyAlignment="1">
      <alignment horizontal="center" vertical="center" wrapText="1"/>
    </xf>
    <xf numFmtId="49" fontId="108" fillId="3" borderId="13" xfId="3" applyNumberFormat="1" applyFont="1" applyFill="1" applyBorder="1" applyAlignment="1">
      <alignment horizontal="center" vertical="center" wrapText="1"/>
    </xf>
    <xf numFmtId="49" fontId="110" fillId="3" borderId="10" xfId="3" applyNumberFormat="1" applyFont="1" applyFill="1" applyBorder="1" applyAlignment="1">
      <alignment horizontal="center" vertical="center" wrapText="1"/>
    </xf>
    <xf numFmtId="49" fontId="115" fillId="0" borderId="4" xfId="3" applyNumberFormat="1" applyFont="1" applyBorder="1" applyAlignment="1">
      <alignment horizontal="center" vertical="center" wrapText="1"/>
    </xf>
    <xf numFmtId="49" fontId="110" fillId="0" borderId="10" xfId="3" applyNumberFormat="1" applyFont="1" applyBorder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49" fontId="110" fillId="3" borderId="4" xfId="3" applyNumberFormat="1" applyFont="1" applyFill="1" applyBorder="1" applyAlignment="1">
      <alignment horizontal="center" vertical="center" wrapText="1"/>
    </xf>
    <xf numFmtId="49" fontId="108" fillId="3" borderId="4" xfId="3" applyNumberFormat="1" applyFont="1" applyFill="1" applyBorder="1" applyAlignment="1">
      <alignment horizontal="center" vertical="center" wrapText="1"/>
    </xf>
    <xf numFmtId="49" fontId="110" fillId="3" borderId="10" xfId="3" applyNumberFormat="1" applyFont="1" applyFill="1" applyBorder="1" applyAlignment="1">
      <alignment horizontal="center" vertical="top" wrapText="1"/>
    </xf>
    <xf numFmtId="49" fontId="110" fillId="3" borderId="4" xfId="3" applyNumberFormat="1" applyFont="1" applyFill="1" applyBorder="1" applyAlignment="1">
      <alignment horizontal="center" vertical="top" wrapText="1"/>
    </xf>
    <xf numFmtId="0" fontId="1" fillId="0" borderId="4" xfId="3" applyBorder="1" applyAlignment="1">
      <alignment horizontal="center" vertical="top" wrapText="1"/>
    </xf>
    <xf numFmtId="49" fontId="2" fillId="3" borderId="12" xfId="3" applyNumberFormat="1" applyFont="1" applyFill="1" applyBorder="1" applyAlignment="1">
      <alignment horizontal="center" vertical="center" wrapText="1"/>
    </xf>
    <xf numFmtId="49" fontId="2" fillId="3" borderId="11" xfId="3" applyNumberFormat="1" applyFont="1" applyFill="1" applyBorder="1" applyAlignment="1">
      <alignment horizontal="center" vertical="center" wrapText="1"/>
    </xf>
    <xf numFmtId="49" fontId="110" fillId="3" borderId="12" xfId="3" applyNumberFormat="1" applyFont="1" applyFill="1" applyBorder="1" applyAlignment="1">
      <alignment horizontal="center" vertical="center" wrapText="1"/>
    </xf>
    <xf numFmtId="49" fontId="110" fillId="3" borderId="11" xfId="3" applyNumberFormat="1" applyFont="1" applyFill="1" applyBorder="1" applyAlignment="1">
      <alignment horizontal="center" vertical="center" wrapText="1"/>
    </xf>
    <xf numFmtId="49" fontId="138" fillId="3" borderId="10" xfId="3" applyNumberFormat="1" applyFont="1" applyFill="1" applyBorder="1" applyAlignment="1">
      <alignment horizontal="center" vertical="center" wrapText="1"/>
    </xf>
    <xf numFmtId="49" fontId="138" fillId="3" borderId="4" xfId="3" applyNumberFormat="1" applyFont="1" applyFill="1" applyBorder="1" applyAlignment="1">
      <alignment horizontal="center" vertical="center" wrapText="1"/>
    </xf>
    <xf numFmtId="49" fontId="2" fillId="3" borderId="16" xfId="3" applyNumberFormat="1" applyFont="1" applyFill="1" applyBorder="1" applyAlignment="1">
      <alignment horizontal="center" vertical="center" wrapText="1"/>
    </xf>
    <xf numFmtId="49" fontId="2" fillId="3" borderId="13" xfId="3" applyNumberFormat="1" applyFont="1" applyFill="1" applyBorder="1" applyAlignment="1">
      <alignment horizontal="center" vertical="center" wrapText="1"/>
    </xf>
    <xf numFmtId="49" fontId="1" fillId="3" borderId="13" xfId="3" applyNumberFormat="1" applyFill="1" applyBorder="1" applyAlignment="1">
      <alignment horizontal="center" vertical="center" wrapText="1"/>
    </xf>
    <xf numFmtId="49" fontId="2" fillId="3" borderId="10" xfId="3" applyNumberFormat="1" applyFont="1" applyFill="1" applyBorder="1" applyAlignment="1">
      <alignment horizontal="center" vertical="top" wrapText="1"/>
    </xf>
    <xf numFmtId="49" fontId="2" fillId="3" borderId="4" xfId="3" applyNumberFormat="1" applyFont="1" applyFill="1" applyBorder="1" applyAlignment="1">
      <alignment horizontal="center" vertical="top" wrapText="1"/>
    </xf>
    <xf numFmtId="49" fontId="1" fillId="3" borderId="4" xfId="3" applyNumberFormat="1" applyFill="1" applyBorder="1" applyAlignment="1">
      <alignment horizontal="center" vertical="top" wrapText="1"/>
    </xf>
    <xf numFmtId="49" fontId="2" fillId="3" borderId="10" xfId="3" applyNumberFormat="1" applyFont="1" applyFill="1" applyBorder="1" applyAlignment="1">
      <alignment horizontal="center" vertical="center" wrapText="1"/>
    </xf>
    <xf numFmtId="49" fontId="2" fillId="3" borderId="4" xfId="3" applyNumberFormat="1" applyFont="1" applyFill="1" applyBorder="1" applyAlignment="1">
      <alignment horizontal="center" vertical="center" wrapText="1"/>
    </xf>
    <xf numFmtId="49" fontId="2" fillId="3" borderId="0" xfId="3" applyNumberFormat="1" applyFont="1" applyFill="1" applyBorder="1" applyAlignment="1">
      <alignment horizontal="center" vertical="top" wrapText="1"/>
    </xf>
    <xf numFmtId="0" fontId="1" fillId="3" borderId="4" xfId="3" applyFill="1" applyBorder="1" applyAlignment="1">
      <alignment horizontal="center" vertical="center" wrapText="1"/>
    </xf>
    <xf numFmtId="49" fontId="1" fillId="0" borderId="4" xfId="3" applyNumberFormat="1" applyBorder="1" applyAlignment="1">
      <alignment horizontal="center" vertical="top" wrapText="1"/>
    </xf>
    <xf numFmtId="49" fontId="2" fillId="3" borderId="0" xfId="3" applyNumberFormat="1" applyFont="1" applyFill="1" applyBorder="1" applyAlignment="1">
      <alignment horizontal="center" vertical="center" wrapText="1"/>
    </xf>
    <xf numFmtId="0" fontId="2" fillId="3" borderId="35" xfId="3" applyNumberFormat="1" applyFont="1" applyFill="1" applyBorder="1" applyAlignment="1">
      <alignment horizontal="center" vertical="center" wrapText="1"/>
    </xf>
    <xf numFmtId="0" fontId="1" fillId="0" borderId="7" xfId="3" applyNumberFormat="1" applyBorder="1" applyAlignment="1"/>
    <xf numFmtId="0" fontId="1" fillId="0" borderId="3" xfId="3" applyNumberFormat="1" applyBorder="1" applyAlignment="1"/>
    <xf numFmtId="0" fontId="1" fillId="0" borderId="11" xfId="3" applyNumberFormat="1" applyBorder="1" applyAlignment="1"/>
    <xf numFmtId="49" fontId="2" fillId="3" borderId="3" xfId="3" applyNumberFormat="1" applyFont="1" applyFill="1" applyBorder="1" applyAlignment="1">
      <alignment horizontal="center" vertical="center" wrapText="1"/>
    </xf>
    <xf numFmtId="0" fontId="1" fillId="14" borderId="0" xfId="0" applyFont="1" applyFill="1" applyAlignment="1"/>
    <xf numFmtId="0" fontId="0" fillId="14" borderId="0" xfId="0" applyFill="1" applyAlignment="1"/>
  </cellXfs>
  <cellStyles count="7">
    <cellStyle name="Link" xfId="1" builtinId="8"/>
    <cellStyle name="Prozent" xfId="2" builtinId="5"/>
    <cellStyle name="Standard" xfId="0" builtinId="0"/>
    <cellStyle name="Standard 2" xfId="3"/>
    <cellStyle name="Standard 3" xfId="4"/>
    <cellStyle name="Standard_Mastmsichung Becker, Roland" xfId="5"/>
    <cellStyle name="Währung" xfId="6" builtinId="4"/>
  </cellStyles>
  <dxfs count="83">
    <dxf>
      <font>
        <color rgb="FFFFFF99"/>
      </font>
    </dxf>
    <dxf>
      <font>
        <condense val="0"/>
        <extend val="0"/>
        <color indexed="43"/>
      </font>
    </dxf>
    <dxf>
      <font>
        <color rgb="FFFFFF99"/>
      </font>
    </dxf>
    <dxf>
      <font>
        <condense val="0"/>
        <extend val="0"/>
        <color indexed="43"/>
      </font>
    </dxf>
    <dxf>
      <font>
        <color rgb="FF99FF99"/>
      </font>
    </dxf>
    <dxf>
      <font>
        <color rgb="FFFF99CC"/>
      </font>
    </dxf>
    <dxf>
      <font>
        <color theme="0"/>
      </font>
    </dxf>
    <dxf>
      <font>
        <color rgb="FF0D5EFF"/>
      </font>
    </dxf>
    <dxf>
      <font>
        <color rgb="FFFF0000"/>
      </font>
    </dxf>
    <dxf>
      <font>
        <color auto="1"/>
      </font>
    </dxf>
    <dxf>
      <font>
        <color rgb="FF0D5EFF"/>
      </font>
    </dxf>
    <dxf>
      <font>
        <color rgb="FFFF0000"/>
      </font>
    </dxf>
    <dxf>
      <font>
        <condense val="0"/>
        <extend val="0"/>
        <color indexed="8"/>
      </font>
    </dxf>
    <dxf>
      <font>
        <color rgb="FF0D5EFF"/>
      </font>
    </dxf>
    <dxf>
      <font>
        <color rgb="FFFF0000"/>
      </font>
    </dxf>
    <dxf>
      <font>
        <condense val="0"/>
        <extend val="0"/>
        <color indexed="8"/>
      </font>
    </dxf>
    <dxf>
      <font>
        <color rgb="FF0D5EFF"/>
      </font>
    </dxf>
    <dxf>
      <font>
        <color rgb="FFFF0000"/>
      </font>
    </dxf>
    <dxf>
      <font>
        <condense val="0"/>
        <extend val="0"/>
        <color indexed="8"/>
      </font>
    </dxf>
    <dxf>
      <font>
        <color rgb="FF0D5EFF"/>
      </font>
    </dxf>
    <dxf>
      <font>
        <color rgb="FFFF0000"/>
      </font>
    </dxf>
    <dxf>
      <font>
        <color auto="1"/>
      </font>
    </dxf>
    <dxf>
      <font>
        <color rgb="FF0D5EFF"/>
      </font>
    </dxf>
    <dxf>
      <font>
        <color rgb="FFFF0000"/>
      </font>
    </dxf>
    <dxf>
      <font>
        <color auto="1"/>
      </font>
    </dxf>
    <dxf>
      <font>
        <color rgb="FF0D5EFF"/>
      </font>
    </dxf>
    <dxf>
      <font>
        <color rgb="FFFF0000"/>
      </font>
    </dxf>
    <dxf>
      <font>
        <condense val="0"/>
        <extend val="0"/>
        <color indexed="8"/>
      </font>
    </dxf>
    <dxf>
      <font>
        <color rgb="FF0D5EFF"/>
      </font>
    </dxf>
    <dxf>
      <font>
        <color rgb="FFFF0000"/>
      </font>
    </dxf>
    <dxf>
      <font>
        <condense val="0"/>
        <extend val="0"/>
        <color indexed="8"/>
      </font>
    </dxf>
    <dxf>
      <font>
        <color rgb="FF0D5EFF"/>
      </font>
    </dxf>
    <dxf>
      <font>
        <color rgb="FFFF0000"/>
      </font>
    </dxf>
    <dxf>
      <font>
        <condense val="0"/>
        <extend val="0"/>
        <color indexed="8"/>
      </font>
    </dxf>
    <dxf>
      <font>
        <color rgb="FF0D5EFF"/>
      </font>
    </dxf>
    <dxf>
      <font>
        <color rgb="FFFF0000"/>
      </font>
    </dxf>
    <dxf>
      <font>
        <condense val="0"/>
        <extend val="0"/>
        <color indexed="8"/>
      </font>
    </dxf>
    <dxf>
      <font>
        <color rgb="FF0D5EFF"/>
      </font>
    </dxf>
    <dxf>
      <font>
        <color rgb="FFFF0000"/>
      </font>
    </dxf>
    <dxf>
      <font>
        <condense val="0"/>
        <extend val="0"/>
        <color indexed="8"/>
      </font>
    </dxf>
    <dxf>
      <font>
        <color rgb="FF0D5EFF"/>
      </font>
    </dxf>
    <dxf>
      <font>
        <color rgb="FFFF0000"/>
      </font>
    </dxf>
    <dxf>
      <font>
        <color auto="1"/>
      </font>
    </dxf>
    <dxf>
      <font>
        <color rgb="FF0D5EFF"/>
      </font>
    </dxf>
    <dxf>
      <font>
        <color rgb="FFFF0000"/>
      </font>
    </dxf>
    <dxf>
      <font>
        <condense val="0"/>
        <extend val="0"/>
        <color indexed="8"/>
      </font>
    </dxf>
    <dxf>
      <font>
        <color rgb="FF0D5EFF"/>
      </font>
    </dxf>
    <dxf>
      <font>
        <color rgb="FFFF0000"/>
      </font>
    </dxf>
    <dxf>
      <font>
        <condense val="0"/>
        <extend val="0"/>
        <color indexed="8"/>
      </font>
    </dxf>
    <dxf>
      <font>
        <color rgb="FF0D5EFF"/>
      </font>
    </dxf>
    <dxf>
      <font>
        <color rgb="FFFF0000"/>
      </font>
    </dxf>
    <dxf>
      <font>
        <color auto="1"/>
      </font>
    </dxf>
    <dxf>
      <font>
        <color rgb="FF0D5EFF"/>
      </font>
    </dxf>
    <dxf>
      <font>
        <color rgb="FFFF0000"/>
      </font>
    </dxf>
    <dxf>
      <font>
        <condense val="0"/>
        <extend val="0"/>
        <color indexed="8"/>
      </font>
    </dxf>
    <dxf>
      <font>
        <color rgb="FF0D5EFF"/>
      </font>
    </dxf>
    <dxf>
      <font>
        <color rgb="FFFF0000"/>
      </font>
    </dxf>
    <dxf>
      <font>
        <color auto="1"/>
      </font>
    </dxf>
    <dxf>
      <font>
        <color rgb="FF0D5EFF"/>
      </font>
    </dxf>
    <dxf>
      <font>
        <color rgb="FFFF0000"/>
      </font>
    </dxf>
    <dxf>
      <font>
        <color auto="1"/>
      </font>
    </dxf>
    <dxf>
      <font>
        <color rgb="FF0D5EFF"/>
      </font>
    </dxf>
    <dxf>
      <font>
        <color rgb="FFFF0000"/>
      </font>
    </dxf>
    <dxf>
      <font>
        <color theme="1"/>
      </font>
    </dxf>
    <dxf>
      <font>
        <color rgb="FF0D5EFF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8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C00000"/>
      </font>
    </dxf>
    <dxf>
      <font>
        <condense val="0"/>
        <extend val="0"/>
        <color rgb="FF9C0006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Futterkurve Sauen</a:t>
            </a:r>
          </a:p>
        </c:rich>
      </c:tx>
      <c:layout>
        <c:manualLayout>
          <c:xMode val="edge"/>
          <c:yMode val="edge"/>
          <c:x val="0.347551806403562"/>
          <c:y val="0.03539826543421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659001744856"/>
          <c:y val="0.221239575381336"/>
          <c:w val="0.840443634669464"/>
          <c:h val="0.451328733777962"/>
        </c:manualLayout>
      </c:layout>
      <c:lineChart>
        <c:grouping val="standard"/>
        <c:varyColors val="0"/>
        <c:ser>
          <c:idx val="0"/>
          <c:order val="0"/>
          <c:tx>
            <c:strRef>
              <c:f>D!$C$1</c:f>
              <c:strCache>
                <c:ptCount val="1"/>
                <c:pt idx="0">
                  <c:v>kg Futter Jungsau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D!$C$2:$C$148</c:f>
              <c:numCache>
                <c:formatCode>0.0</c:formatCode>
                <c:ptCount val="147"/>
                <c:pt idx="0">
                  <c:v>2.416666666666666</c:v>
                </c:pt>
                <c:pt idx="1">
                  <c:v>2.416666666666666</c:v>
                </c:pt>
                <c:pt idx="2">
                  <c:v>2.416666666666666</c:v>
                </c:pt>
                <c:pt idx="3">
                  <c:v>2.416666666666666</c:v>
                </c:pt>
                <c:pt idx="4">
                  <c:v>2.416666666666666</c:v>
                </c:pt>
                <c:pt idx="5">
                  <c:v>2.416666666666666</c:v>
                </c:pt>
                <c:pt idx="6">
                  <c:v>2.416666666666666</c:v>
                </c:pt>
                <c:pt idx="7">
                  <c:v>2.416666666666666</c:v>
                </c:pt>
                <c:pt idx="8">
                  <c:v>2.416666666666666</c:v>
                </c:pt>
                <c:pt idx="9">
                  <c:v>2.416666666666666</c:v>
                </c:pt>
                <c:pt idx="10">
                  <c:v>2.416666666666666</c:v>
                </c:pt>
                <c:pt idx="11">
                  <c:v>2.416666666666666</c:v>
                </c:pt>
                <c:pt idx="12">
                  <c:v>2.416666666666666</c:v>
                </c:pt>
                <c:pt idx="13">
                  <c:v>2.416666666666666</c:v>
                </c:pt>
                <c:pt idx="14">
                  <c:v>2.416666666666666</c:v>
                </c:pt>
                <c:pt idx="15">
                  <c:v>2.416666666666666</c:v>
                </c:pt>
                <c:pt idx="16">
                  <c:v>2.416666666666666</c:v>
                </c:pt>
                <c:pt idx="17">
                  <c:v>2.416666666666666</c:v>
                </c:pt>
                <c:pt idx="18">
                  <c:v>2.416666666666666</c:v>
                </c:pt>
                <c:pt idx="19">
                  <c:v>2.416666666666666</c:v>
                </c:pt>
                <c:pt idx="20">
                  <c:v>2.416666666666666</c:v>
                </c:pt>
                <c:pt idx="21">
                  <c:v>2.416666666666666</c:v>
                </c:pt>
                <c:pt idx="22">
                  <c:v>2.416666666666666</c:v>
                </c:pt>
                <c:pt idx="23">
                  <c:v>2.416666666666666</c:v>
                </c:pt>
                <c:pt idx="24">
                  <c:v>2.416666666666666</c:v>
                </c:pt>
                <c:pt idx="25">
                  <c:v>2.416666666666666</c:v>
                </c:pt>
                <c:pt idx="26">
                  <c:v>2.416666666666666</c:v>
                </c:pt>
                <c:pt idx="27">
                  <c:v>2.416666666666666</c:v>
                </c:pt>
                <c:pt idx="28">
                  <c:v>2.75</c:v>
                </c:pt>
                <c:pt idx="29">
                  <c:v>2.75</c:v>
                </c:pt>
                <c:pt idx="30">
                  <c:v>2.75</c:v>
                </c:pt>
                <c:pt idx="31">
                  <c:v>2.75</c:v>
                </c:pt>
                <c:pt idx="32">
                  <c:v>2.75</c:v>
                </c:pt>
                <c:pt idx="33">
                  <c:v>2.75</c:v>
                </c:pt>
                <c:pt idx="34">
                  <c:v>2.75</c:v>
                </c:pt>
                <c:pt idx="35">
                  <c:v>2.75</c:v>
                </c:pt>
                <c:pt idx="36">
                  <c:v>2.75</c:v>
                </c:pt>
                <c:pt idx="37">
                  <c:v>2.75</c:v>
                </c:pt>
                <c:pt idx="38">
                  <c:v>2.75</c:v>
                </c:pt>
                <c:pt idx="39">
                  <c:v>2.75</c:v>
                </c:pt>
                <c:pt idx="40">
                  <c:v>2.75</c:v>
                </c:pt>
                <c:pt idx="41">
                  <c:v>2.75</c:v>
                </c:pt>
                <c:pt idx="42">
                  <c:v>2.75</c:v>
                </c:pt>
                <c:pt idx="43">
                  <c:v>2.75</c:v>
                </c:pt>
                <c:pt idx="44">
                  <c:v>2.75</c:v>
                </c:pt>
                <c:pt idx="45">
                  <c:v>2.75</c:v>
                </c:pt>
                <c:pt idx="46">
                  <c:v>2.75</c:v>
                </c:pt>
                <c:pt idx="47">
                  <c:v>2.75</c:v>
                </c:pt>
                <c:pt idx="48">
                  <c:v>2.75</c:v>
                </c:pt>
                <c:pt idx="49">
                  <c:v>2.75</c:v>
                </c:pt>
                <c:pt idx="50">
                  <c:v>2.75</c:v>
                </c:pt>
                <c:pt idx="51">
                  <c:v>2.75</c:v>
                </c:pt>
                <c:pt idx="52">
                  <c:v>2.75</c:v>
                </c:pt>
                <c:pt idx="53">
                  <c:v>2.75</c:v>
                </c:pt>
                <c:pt idx="54">
                  <c:v>2.75</c:v>
                </c:pt>
                <c:pt idx="55">
                  <c:v>2.75</c:v>
                </c:pt>
                <c:pt idx="56">
                  <c:v>2.75</c:v>
                </c:pt>
                <c:pt idx="57">
                  <c:v>2.75</c:v>
                </c:pt>
                <c:pt idx="58">
                  <c:v>2.75</c:v>
                </c:pt>
                <c:pt idx="59">
                  <c:v>2.75</c:v>
                </c:pt>
                <c:pt idx="60">
                  <c:v>2.75</c:v>
                </c:pt>
                <c:pt idx="61">
                  <c:v>2.75</c:v>
                </c:pt>
                <c:pt idx="62">
                  <c:v>2.75</c:v>
                </c:pt>
                <c:pt idx="63">
                  <c:v>2.75</c:v>
                </c:pt>
                <c:pt idx="64">
                  <c:v>2.75</c:v>
                </c:pt>
                <c:pt idx="65">
                  <c:v>2.75</c:v>
                </c:pt>
                <c:pt idx="66">
                  <c:v>2.75</c:v>
                </c:pt>
                <c:pt idx="67">
                  <c:v>2.75</c:v>
                </c:pt>
                <c:pt idx="68">
                  <c:v>2.75</c:v>
                </c:pt>
                <c:pt idx="69">
                  <c:v>2.75</c:v>
                </c:pt>
                <c:pt idx="70">
                  <c:v>3.083333333333333</c:v>
                </c:pt>
                <c:pt idx="71">
                  <c:v>3.083333333333333</c:v>
                </c:pt>
                <c:pt idx="72">
                  <c:v>3.083333333333333</c:v>
                </c:pt>
                <c:pt idx="73">
                  <c:v>3.083333333333333</c:v>
                </c:pt>
                <c:pt idx="74">
                  <c:v>3.083333333333333</c:v>
                </c:pt>
                <c:pt idx="75">
                  <c:v>3.083333333333333</c:v>
                </c:pt>
                <c:pt idx="76">
                  <c:v>3.083333333333333</c:v>
                </c:pt>
                <c:pt idx="77">
                  <c:v>3.083333333333333</c:v>
                </c:pt>
                <c:pt idx="78">
                  <c:v>3.083333333333333</c:v>
                </c:pt>
                <c:pt idx="79">
                  <c:v>3.083333333333333</c:v>
                </c:pt>
                <c:pt idx="80">
                  <c:v>3.083333333333333</c:v>
                </c:pt>
                <c:pt idx="81">
                  <c:v>3.083333333333333</c:v>
                </c:pt>
                <c:pt idx="82">
                  <c:v>3.083333333333333</c:v>
                </c:pt>
                <c:pt idx="83">
                  <c:v>3.083333333333333</c:v>
                </c:pt>
                <c:pt idx="84">
                  <c:v>3.083333333333333</c:v>
                </c:pt>
                <c:pt idx="85">
                  <c:v>3.25</c:v>
                </c:pt>
                <c:pt idx="86">
                  <c:v>3.25</c:v>
                </c:pt>
                <c:pt idx="87">
                  <c:v>3.25</c:v>
                </c:pt>
                <c:pt idx="88">
                  <c:v>3.25</c:v>
                </c:pt>
                <c:pt idx="89">
                  <c:v>3.25</c:v>
                </c:pt>
                <c:pt idx="90">
                  <c:v>3.25</c:v>
                </c:pt>
                <c:pt idx="91">
                  <c:v>3.25</c:v>
                </c:pt>
                <c:pt idx="92">
                  <c:v>3.25</c:v>
                </c:pt>
                <c:pt idx="93">
                  <c:v>3.25</c:v>
                </c:pt>
                <c:pt idx="94">
                  <c:v>3.25</c:v>
                </c:pt>
                <c:pt idx="95">
                  <c:v>3.25</c:v>
                </c:pt>
                <c:pt idx="96">
                  <c:v>3.25</c:v>
                </c:pt>
                <c:pt idx="97">
                  <c:v>3.25</c:v>
                </c:pt>
                <c:pt idx="98">
                  <c:v>3.25</c:v>
                </c:pt>
                <c:pt idx="99">
                  <c:v>3.25</c:v>
                </c:pt>
                <c:pt idx="100">
                  <c:v>3.25</c:v>
                </c:pt>
                <c:pt idx="101">
                  <c:v>3.25</c:v>
                </c:pt>
                <c:pt idx="102">
                  <c:v>3.25</c:v>
                </c:pt>
                <c:pt idx="103">
                  <c:v>3.25</c:v>
                </c:pt>
                <c:pt idx="104">
                  <c:v>3.25</c:v>
                </c:pt>
                <c:pt idx="105">
                  <c:v>3.25</c:v>
                </c:pt>
                <c:pt idx="106">
                  <c:v>3.25</c:v>
                </c:pt>
                <c:pt idx="107">
                  <c:v>3.25</c:v>
                </c:pt>
                <c:pt idx="108">
                  <c:v>3.25</c:v>
                </c:pt>
                <c:pt idx="109">
                  <c:v>3.0</c:v>
                </c:pt>
                <c:pt idx="110">
                  <c:v>2.75</c:v>
                </c:pt>
                <c:pt idx="111">
                  <c:v>2.583333333333333</c:v>
                </c:pt>
                <c:pt idx="112">
                  <c:v>2.416666666666666</c:v>
                </c:pt>
                <c:pt idx="113">
                  <c:v>2.166666666666666</c:v>
                </c:pt>
                <c:pt idx="114">
                  <c:v>2.0</c:v>
                </c:pt>
                <c:pt idx="115">
                  <c:v>2.4</c:v>
                </c:pt>
                <c:pt idx="116">
                  <c:v>2.8</c:v>
                </c:pt>
                <c:pt idx="117">
                  <c:v>3.2</c:v>
                </c:pt>
                <c:pt idx="118">
                  <c:v>3.2</c:v>
                </c:pt>
                <c:pt idx="119">
                  <c:v>3.6</c:v>
                </c:pt>
                <c:pt idx="120">
                  <c:v>4</c:v>
                </c:pt>
                <c:pt idx="121">
                  <c:v>4.399999999999999</c:v>
                </c:pt>
                <c:pt idx="122">
                  <c:v>4.399999999999999</c:v>
                </c:pt>
                <c:pt idx="123">
                  <c:v>4.8</c:v>
                </c:pt>
                <c:pt idx="124">
                  <c:v>5.2</c:v>
                </c:pt>
                <c:pt idx="125">
                  <c:v>5.6</c:v>
                </c:pt>
                <c:pt idx="126">
                  <c:v>5.6</c:v>
                </c:pt>
                <c:pt idx="127">
                  <c:v>5.962158976817012</c:v>
                </c:pt>
                <c:pt idx="128">
                  <c:v>5.962158976817012</c:v>
                </c:pt>
                <c:pt idx="129">
                  <c:v>5.962158976817012</c:v>
                </c:pt>
                <c:pt idx="130">
                  <c:v>5.962158976817012</c:v>
                </c:pt>
                <c:pt idx="131">
                  <c:v>5.962158976817012</c:v>
                </c:pt>
                <c:pt idx="132">
                  <c:v>5.962158976817012</c:v>
                </c:pt>
                <c:pt idx="133">
                  <c:v>5.962158976817012</c:v>
                </c:pt>
                <c:pt idx="134">
                  <c:v>5.962158976817012</c:v>
                </c:pt>
                <c:pt idx="135">
                  <c:v>5.962158976817012</c:v>
                </c:pt>
                <c:pt idx="136">
                  <c:v>5.962158976817012</c:v>
                </c:pt>
                <c:pt idx="137">
                  <c:v>5.962158976817012</c:v>
                </c:pt>
                <c:pt idx="138">
                  <c:v>5.962158976817012</c:v>
                </c:pt>
                <c:pt idx="139">
                  <c:v>5.962158976817012</c:v>
                </c:pt>
                <c:pt idx="140">
                  <c:v>5.962158976817012</c:v>
                </c:pt>
                <c:pt idx="141">
                  <c:v>5.962158976817012</c:v>
                </c:pt>
                <c:pt idx="142">
                  <c:v>3.083333333333333</c:v>
                </c:pt>
                <c:pt idx="143">
                  <c:v>3.083333333333333</c:v>
                </c:pt>
                <c:pt idx="144">
                  <c:v>3.083333333333333</c:v>
                </c:pt>
                <c:pt idx="145">
                  <c:v>3.083333333333333</c:v>
                </c:pt>
                <c:pt idx="146">
                  <c:v>3.083333333333333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D!$G$1</c:f>
              <c:strCache>
                <c:ptCount val="1"/>
                <c:pt idx="0">
                  <c:v>kg Futter Altsau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D!$G$2:$G$148</c:f>
              <c:numCache>
                <c:formatCode>0.0</c:formatCode>
                <c:ptCount val="147"/>
                <c:pt idx="0">
                  <c:v>2.75</c:v>
                </c:pt>
                <c:pt idx="1">
                  <c:v>2.75</c:v>
                </c:pt>
                <c:pt idx="2">
                  <c:v>2.75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2.75</c:v>
                </c:pt>
                <c:pt idx="7">
                  <c:v>2.75</c:v>
                </c:pt>
                <c:pt idx="8">
                  <c:v>2.75</c:v>
                </c:pt>
                <c:pt idx="9">
                  <c:v>2.75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2.75</c:v>
                </c:pt>
                <c:pt idx="16">
                  <c:v>2.75</c:v>
                </c:pt>
                <c:pt idx="17">
                  <c:v>2.75</c:v>
                </c:pt>
                <c:pt idx="18">
                  <c:v>2.75</c:v>
                </c:pt>
                <c:pt idx="19">
                  <c:v>2.75</c:v>
                </c:pt>
                <c:pt idx="20">
                  <c:v>2.75</c:v>
                </c:pt>
                <c:pt idx="21">
                  <c:v>2.75</c:v>
                </c:pt>
                <c:pt idx="22">
                  <c:v>2.75</c:v>
                </c:pt>
                <c:pt idx="23">
                  <c:v>2.75</c:v>
                </c:pt>
                <c:pt idx="24">
                  <c:v>2.75</c:v>
                </c:pt>
                <c:pt idx="25">
                  <c:v>2.75</c:v>
                </c:pt>
                <c:pt idx="26">
                  <c:v>2.75</c:v>
                </c:pt>
                <c:pt idx="27">
                  <c:v>2.75</c:v>
                </c:pt>
                <c:pt idx="28">
                  <c:v>3.25</c:v>
                </c:pt>
                <c:pt idx="29">
                  <c:v>3.25</c:v>
                </c:pt>
                <c:pt idx="30">
                  <c:v>3.25</c:v>
                </c:pt>
                <c:pt idx="31">
                  <c:v>3.25</c:v>
                </c:pt>
                <c:pt idx="32">
                  <c:v>3.25</c:v>
                </c:pt>
                <c:pt idx="33">
                  <c:v>3.25</c:v>
                </c:pt>
                <c:pt idx="34">
                  <c:v>3.25</c:v>
                </c:pt>
                <c:pt idx="35">
                  <c:v>3.25</c:v>
                </c:pt>
                <c:pt idx="36">
                  <c:v>3.25</c:v>
                </c:pt>
                <c:pt idx="37">
                  <c:v>3.25</c:v>
                </c:pt>
                <c:pt idx="38">
                  <c:v>3.25</c:v>
                </c:pt>
                <c:pt idx="39">
                  <c:v>3.25</c:v>
                </c:pt>
                <c:pt idx="40">
                  <c:v>3.25</c:v>
                </c:pt>
                <c:pt idx="41">
                  <c:v>3.25</c:v>
                </c:pt>
                <c:pt idx="42">
                  <c:v>3.25</c:v>
                </c:pt>
                <c:pt idx="43">
                  <c:v>3.25</c:v>
                </c:pt>
                <c:pt idx="44">
                  <c:v>3.25</c:v>
                </c:pt>
                <c:pt idx="45">
                  <c:v>3.25</c:v>
                </c:pt>
                <c:pt idx="46">
                  <c:v>3.25</c:v>
                </c:pt>
                <c:pt idx="47">
                  <c:v>3.25</c:v>
                </c:pt>
                <c:pt idx="48">
                  <c:v>3.25</c:v>
                </c:pt>
                <c:pt idx="49">
                  <c:v>3.25</c:v>
                </c:pt>
                <c:pt idx="50">
                  <c:v>3.25</c:v>
                </c:pt>
                <c:pt idx="51">
                  <c:v>3.25</c:v>
                </c:pt>
                <c:pt idx="52">
                  <c:v>3.25</c:v>
                </c:pt>
                <c:pt idx="53">
                  <c:v>3.25</c:v>
                </c:pt>
                <c:pt idx="54">
                  <c:v>3.25</c:v>
                </c:pt>
                <c:pt idx="55">
                  <c:v>3.25</c:v>
                </c:pt>
                <c:pt idx="56">
                  <c:v>3.25</c:v>
                </c:pt>
                <c:pt idx="57">
                  <c:v>3.25</c:v>
                </c:pt>
                <c:pt idx="58">
                  <c:v>3.25</c:v>
                </c:pt>
                <c:pt idx="59">
                  <c:v>3.25</c:v>
                </c:pt>
                <c:pt idx="60">
                  <c:v>3.25</c:v>
                </c:pt>
                <c:pt idx="61">
                  <c:v>3.25</c:v>
                </c:pt>
                <c:pt idx="62">
                  <c:v>3.25</c:v>
                </c:pt>
                <c:pt idx="63">
                  <c:v>3.25</c:v>
                </c:pt>
                <c:pt idx="64">
                  <c:v>3.25</c:v>
                </c:pt>
                <c:pt idx="65">
                  <c:v>3.25</c:v>
                </c:pt>
                <c:pt idx="66">
                  <c:v>3.25</c:v>
                </c:pt>
                <c:pt idx="67">
                  <c:v>3.25</c:v>
                </c:pt>
                <c:pt idx="68">
                  <c:v>3.25</c:v>
                </c:pt>
                <c:pt idx="69">
                  <c:v>3.25</c:v>
                </c:pt>
                <c:pt idx="70">
                  <c:v>3.583333333333333</c:v>
                </c:pt>
                <c:pt idx="71">
                  <c:v>3.583333333333333</c:v>
                </c:pt>
                <c:pt idx="72">
                  <c:v>3.583333333333333</c:v>
                </c:pt>
                <c:pt idx="73">
                  <c:v>3.583333333333333</c:v>
                </c:pt>
                <c:pt idx="74">
                  <c:v>3.583333333333333</c:v>
                </c:pt>
                <c:pt idx="75">
                  <c:v>3.583333333333333</c:v>
                </c:pt>
                <c:pt idx="76">
                  <c:v>3.583333333333333</c:v>
                </c:pt>
                <c:pt idx="77">
                  <c:v>3.583333333333333</c:v>
                </c:pt>
                <c:pt idx="78">
                  <c:v>3.583333333333333</c:v>
                </c:pt>
                <c:pt idx="79">
                  <c:v>3.583333333333333</c:v>
                </c:pt>
                <c:pt idx="80">
                  <c:v>3.583333333333333</c:v>
                </c:pt>
                <c:pt idx="81">
                  <c:v>3.583333333333333</c:v>
                </c:pt>
                <c:pt idx="82">
                  <c:v>3.583333333333333</c:v>
                </c:pt>
                <c:pt idx="83">
                  <c:v>3.583333333333333</c:v>
                </c:pt>
                <c:pt idx="84">
                  <c:v>3.583333333333333</c:v>
                </c:pt>
                <c:pt idx="85">
                  <c:v>3.583333333333333</c:v>
                </c:pt>
                <c:pt idx="86">
                  <c:v>3.583333333333333</c:v>
                </c:pt>
                <c:pt idx="87">
                  <c:v>3.583333333333333</c:v>
                </c:pt>
                <c:pt idx="88">
                  <c:v>3.583333333333333</c:v>
                </c:pt>
                <c:pt idx="89">
                  <c:v>3.583333333333333</c:v>
                </c:pt>
                <c:pt idx="90">
                  <c:v>3.583333333333333</c:v>
                </c:pt>
                <c:pt idx="91">
                  <c:v>3.583333333333333</c:v>
                </c:pt>
                <c:pt idx="92">
                  <c:v>3.583333333333333</c:v>
                </c:pt>
                <c:pt idx="93">
                  <c:v>3.583333333333333</c:v>
                </c:pt>
                <c:pt idx="94">
                  <c:v>3.583333333333333</c:v>
                </c:pt>
                <c:pt idx="95">
                  <c:v>3.583333333333333</c:v>
                </c:pt>
                <c:pt idx="96">
                  <c:v>3.583333333333333</c:v>
                </c:pt>
                <c:pt idx="97">
                  <c:v>3.583333333333333</c:v>
                </c:pt>
                <c:pt idx="98">
                  <c:v>3.583333333333333</c:v>
                </c:pt>
                <c:pt idx="99">
                  <c:v>3.583333333333333</c:v>
                </c:pt>
                <c:pt idx="100">
                  <c:v>3.583333333333333</c:v>
                </c:pt>
                <c:pt idx="101">
                  <c:v>3.583333333333333</c:v>
                </c:pt>
                <c:pt idx="102">
                  <c:v>3.583333333333333</c:v>
                </c:pt>
                <c:pt idx="103">
                  <c:v>3.583333333333333</c:v>
                </c:pt>
                <c:pt idx="104">
                  <c:v>3.583333333333333</c:v>
                </c:pt>
                <c:pt idx="105">
                  <c:v>3.583333333333333</c:v>
                </c:pt>
                <c:pt idx="106">
                  <c:v>3.583333333333333</c:v>
                </c:pt>
                <c:pt idx="107">
                  <c:v>3.583333333333333</c:v>
                </c:pt>
                <c:pt idx="108">
                  <c:v>3.583333333333333</c:v>
                </c:pt>
                <c:pt idx="109">
                  <c:v>3.333333333333333</c:v>
                </c:pt>
                <c:pt idx="110">
                  <c:v>3.083333333333333</c:v>
                </c:pt>
                <c:pt idx="111">
                  <c:v>2.833333333333333</c:v>
                </c:pt>
                <c:pt idx="112">
                  <c:v>2.5</c:v>
                </c:pt>
                <c:pt idx="113">
                  <c:v>2.166666666666666</c:v>
                </c:pt>
                <c:pt idx="114">
                  <c:v>2.0</c:v>
                </c:pt>
                <c:pt idx="115">
                  <c:v>2.5</c:v>
                </c:pt>
                <c:pt idx="116">
                  <c:v>3.0</c:v>
                </c:pt>
                <c:pt idx="117">
                  <c:v>3.5</c:v>
                </c:pt>
                <c:pt idx="118">
                  <c:v>3.5</c:v>
                </c:pt>
                <c:pt idx="119">
                  <c:v>4.0</c:v>
                </c:pt>
                <c:pt idx="120">
                  <c:v>4.5</c:v>
                </c:pt>
                <c:pt idx="121">
                  <c:v>5.0</c:v>
                </c:pt>
                <c:pt idx="122">
                  <c:v>5.0</c:v>
                </c:pt>
                <c:pt idx="123">
                  <c:v>5.5</c:v>
                </c:pt>
                <c:pt idx="124">
                  <c:v>6.0</c:v>
                </c:pt>
                <c:pt idx="125">
                  <c:v>6.5</c:v>
                </c:pt>
                <c:pt idx="126">
                  <c:v>6.5</c:v>
                </c:pt>
                <c:pt idx="127">
                  <c:v>6.612437698843764</c:v>
                </c:pt>
                <c:pt idx="128">
                  <c:v>6.612437698843764</c:v>
                </c:pt>
                <c:pt idx="129">
                  <c:v>6.612437698843764</c:v>
                </c:pt>
                <c:pt idx="130">
                  <c:v>6.612437698843764</c:v>
                </c:pt>
                <c:pt idx="131">
                  <c:v>6.612437698843764</c:v>
                </c:pt>
                <c:pt idx="132">
                  <c:v>6.612437698843764</c:v>
                </c:pt>
                <c:pt idx="133">
                  <c:v>6.612437698843764</c:v>
                </c:pt>
                <c:pt idx="134">
                  <c:v>6.612437698843764</c:v>
                </c:pt>
                <c:pt idx="135">
                  <c:v>6.612437698843764</c:v>
                </c:pt>
                <c:pt idx="136">
                  <c:v>6.612437698843764</c:v>
                </c:pt>
                <c:pt idx="137">
                  <c:v>6.612437698843764</c:v>
                </c:pt>
                <c:pt idx="138">
                  <c:v>6.612437698843764</c:v>
                </c:pt>
                <c:pt idx="139">
                  <c:v>6.612437698843764</c:v>
                </c:pt>
                <c:pt idx="140">
                  <c:v>6.612437698843764</c:v>
                </c:pt>
                <c:pt idx="141">
                  <c:v>6.612437698843764</c:v>
                </c:pt>
                <c:pt idx="142">
                  <c:v>3.583333333333333</c:v>
                </c:pt>
                <c:pt idx="143">
                  <c:v>3.583333333333333</c:v>
                </c:pt>
                <c:pt idx="144">
                  <c:v>3.583333333333333</c:v>
                </c:pt>
                <c:pt idx="145">
                  <c:v>3.583333333333333</c:v>
                </c:pt>
                <c:pt idx="146">
                  <c:v>3.583333333333333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863976"/>
        <c:axId val="2122625976"/>
      </c:lineChart>
      <c:catAx>
        <c:axId val="2083863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Tage</a:t>
                </a:r>
                <a:r>
                  <a:rPr lang="de-DE" baseline="0"/>
                  <a:t> ab Belegung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461296086092425"/>
              <c:y val="0.7787632660047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2262597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2122625976"/>
        <c:scaling>
          <c:orientation val="minMax"/>
          <c:max val="9.0"/>
          <c:min val="1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kg        </a:t>
                </a:r>
              </a:p>
            </c:rich>
          </c:tx>
          <c:layout>
            <c:manualLayout>
              <c:xMode val="edge"/>
              <c:yMode val="edge"/>
              <c:x val="0.0458134690675047"/>
              <c:y val="0.4100308113659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8386397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73817802365"/>
          <c:y val="0.911506904028301"/>
          <c:w val="0.500790747135364"/>
          <c:h val="0.07964623987218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" l="0.984251968503937" r="0.984251968503937" t="0.984251968503937" header="0.511811023622047" footer="0.511811023622047"/>
    <c:pageSetup paperSize="9" orientation="portrait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9</xdr:row>
      <xdr:rowOff>9526</xdr:rowOff>
    </xdr:from>
    <xdr:to>
      <xdr:col>7</xdr:col>
      <xdr:colOff>628650</xdr:colOff>
      <xdr:row>20</xdr:row>
      <xdr:rowOff>54140</xdr:rowOff>
    </xdr:to>
    <xdr:pic>
      <xdr:nvPicPr>
        <xdr:cNvPr id="3" name="Picture 16" descr="HM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" y="2428876"/>
          <a:ext cx="2085975" cy="255921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77800" dist="50800" dir="5400000" algn="ctr" rotWithShape="0">
            <a:srgbClr val="000000"/>
          </a:outerShdw>
        </a:effectLst>
      </xdr:spPr>
    </xdr:pic>
    <xdr:clientData/>
  </xdr:twoCellAnchor>
  <xdr:twoCellAnchor editAs="oneCell">
    <xdr:from>
      <xdr:col>1</xdr:col>
      <xdr:colOff>228600</xdr:colOff>
      <xdr:row>16</xdr:row>
      <xdr:rowOff>28575</xdr:rowOff>
    </xdr:from>
    <xdr:to>
      <xdr:col>3</xdr:col>
      <xdr:colOff>419100</xdr:colOff>
      <xdr:row>17</xdr:row>
      <xdr:rowOff>95250</xdr:rowOff>
    </xdr:to>
    <xdr:pic macro="[0]!Modul9.Ergänzungsfutter">
      <xdr:nvPicPr>
        <xdr:cNvPr id="94229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3933825"/>
          <a:ext cx="1714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14</xdr:row>
      <xdr:rowOff>38100</xdr:rowOff>
    </xdr:from>
    <xdr:to>
      <xdr:col>3</xdr:col>
      <xdr:colOff>428625</xdr:colOff>
      <xdr:row>15</xdr:row>
      <xdr:rowOff>104775</xdr:rowOff>
    </xdr:to>
    <xdr:pic macro="[0]!Modul9.Mineralfutter"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125" y="3600450"/>
          <a:ext cx="1714500" cy="29527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6</xdr:row>
          <xdr:rowOff>88900</xdr:rowOff>
        </xdr:from>
        <xdr:to>
          <xdr:col>3</xdr:col>
          <xdr:colOff>419100</xdr:colOff>
          <xdr:row>7</xdr:row>
          <xdr:rowOff>139700</xdr:rowOff>
        </xdr:to>
        <xdr:sp macro="" textlink="">
          <xdr:nvSpPr>
            <xdr:cNvPr id="94209" name="Button 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Anleitung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8</xdr:row>
          <xdr:rowOff>88900</xdr:rowOff>
        </xdr:from>
        <xdr:to>
          <xdr:col>3</xdr:col>
          <xdr:colOff>419100</xdr:colOff>
          <xdr:row>9</xdr:row>
          <xdr:rowOff>139700</xdr:rowOff>
        </xdr:to>
        <xdr:sp macro="" textlink="">
          <xdr:nvSpPr>
            <xdr:cNvPr id="94212" name="Button 4" hidden="1">
              <a:extLst>
                <a:ext uri="{63B3BB69-23CF-44E3-9099-C40C66FF867C}">
                  <a14:compatExt spid="_x0000_s9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10</xdr:row>
          <xdr:rowOff>88900</xdr:rowOff>
        </xdr:from>
        <xdr:to>
          <xdr:col>3</xdr:col>
          <xdr:colOff>419100</xdr:colOff>
          <xdr:row>11</xdr:row>
          <xdr:rowOff>139700</xdr:rowOff>
        </xdr:to>
        <xdr:sp macro="" textlink="">
          <xdr:nvSpPr>
            <xdr:cNvPr id="94213" name="Button 5" hidden="1">
              <a:extLst>
                <a:ext uri="{63B3BB69-23CF-44E3-9099-C40C66FF867C}">
                  <a14:compatExt spid="_x0000_s9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12</xdr:row>
          <xdr:rowOff>88900</xdr:rowOff>
        </xdr:from>
        <xdr:to>
          <xdr:col>3</xdr:col>
          <xdr:colOff>419100</xdr:colOff>
          <xdr:row>13</xdr:row>
          <xdr:rowOff>139700</xdr:rowOff>
        </xdr:to>
        <xdr:sp macro="" textlink="">
          <xdr:nvSpPr>
            <xdr:cNvPr id="94215" name="Button 7" hidden="1">
              <a:extLst>
                <a:ext uri="{63B3BB69-23CF-44E3-9099-C40C66FF867C}">
                  <a14:compatExt spid="_x0000_s9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Preiswürdigkeit Fu.mi.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18</xdr:row>
          <xdr:rowOff>25400</xdr:rowOff>
        </xdr:from>
        <xdr:to>
          <xdr:col>3</xdr:col>
          <xdr:colOff>406400</xdr:colOff>
          <xdr:row>19</xdr:row>
          <xdr:rowOff>76200</xdr:rowOff>
        </xdr:to>
        <xdr:sp macro="" textlink="">
          <xdr:nvSpPr>
            <xdr:cNvPr id="94217" name="Button 9" hidden="1">
              <a:extLst>
                <a:ext uri="{63B3BB69-23CF-44E3-9099-C40C66FF867C}">
                  <a14:compatExt spid="_x0000_s9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Orientierungswerte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20</xdr:row>
          <xdr:rowOff>0</xdr:rowOff>
        </xdr:from>
        <xdr:to>
          <xdr:col>3</xdr:col>
          <xdr:colOff>406400</xdr:colOff>
          <xdr:row>21</xdr:row>
          <xdr:rowOff>50800</xdr:rowOff>
        </xdr:to>
        <xdr:sp macro="" textlink="">
          <xdr:nvSpPr>
            <xdr:cNvPr id="94218" name="Button 10" hidden="1">
              <a:extLst>
                <a:ext uri="{63B3BB69-23CF-44E3-9099-C40C66FF867C}">
                  <a14:compatExt spid="_x0000_s9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Höchstgehalte Fu.mi.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21</xdr:row>
          <xdr:rowOff>215900</xdr:rowOff>
        </xdr:from>
        <xdr:to>
          <xdr:col>3</xdr:col>
          <xdr:colOff>393700</xdr:colOff>
          <xdr:row>23</xdr:row>
          <xdr:rowOff>50800</xdr:rowOff>
        </xdr:to>
        <xdr:sp macro="" textlink="">
          <xdr:nvSpPr>
            <xdr:cNvPr id="94219" name="Button 11" hidden="1">
              <a:extLst>
                <a:ext uri="{63B3BB69-23CF-44E3-9099-C40C66FF867C}">
                  <a14:compatExt spid="_x0000_s9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Vit. &amp; Spurenelemente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23</xdr:row>
          <xdr:rowOff>177800</xdr:rowOff>
        </xdr:from>
        <xdr:to>
          <xdr:col>3</xdr:col>
          <xdr:colOff>406400</xdr:colOff>
          <xdr:row>25</xdr:row>
          <xdr:rowOff>0</xdr:rowOff>
        </xdr:to>
        <xdr:sp macro="" textlink="">
          <xdr:nvSpPr>
            <xdr:cNvPr id="94220" name="Button 12" hidden="1">
              <a:extLst>
                <a:ext uri="{63B3BB69-23CF-44E3-9099-C40C66FF867C}">
                  <a14:compatExt spid="_x0000_s9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ME/XP-Rechner Min.Fu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11</xdr:row>
          <xdr:rowOff>88900</xdr:rowOff>
        </xdr:from>
        <xdr:to>
          <xdr:col>11</xdr:col>
          <xdr:colOff>419100</xdr:colOff>
          <xdr:row>12</xdr:row>
          <xdr:rowOff>139700</xdr:rowOff>
        </xdr:to>
        <xdr:sp macro="" textlink="">
          <xdr:nvSpPr>
            <xdr:cNvPr id="94222" name="Button 14" hidden="1">
              <a:extLst>
                <a:ext uri="{63B3BB69-23CF-44E3-9099-C40C66FF867C}">
                  <a14:compatExt spid="_x0000_s9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Futterkurve Mast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13</xdr:row>
          <xdr:rowOff>88900</xdr:rowOff>
        </xdr:from>
        <xdr:to>
          <xdr:col>11</xdr:col>
          <xdr:colOff>419100</xdr:colOff>
          <xdr:row>14</xdr:row>
          <xdr:rowOff>139700</xdr:rowOff>
        </xdr:to>
        <xdr:sp macro="" textlink="">
          <xdr:nvSpPr>
            <xdr:cNvPr id="94223" name="Button 15" hidden="1">
              <a:extLst>
                <a:ext uri="{63B3BB69-23CF-44E3-9099-C40C66FF867C}">
                  <a14:compatExt spid="_x0000_s9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Futterkurve Sauen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15</xdr:row>
          <xdr:rowOff>88900</xdr:rowOff>
        </xdr:from>
        <xdr:to>
          <xdr:col>11</xdr:col>
          <xdr:colOff>419100</xdr:colOff>
          <xdr:row>16</xdr:row>
          <xdr:rowOff>139700</xdr:rowOff>
        </xdr:to>
        <xdr:sp macro="" textlink="">
          <xdr:nvSpPr>
            <xdr:cNvPr id="94224" name="Button 16" hidden="1">
              <a:extLst>
                <a:ext uri="{63B3BB69-23CF-44E3-9099-C40C66FF867C}">
                  <a14:compatExt spid="_x0000_s9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Futterkurve Ferkel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17</xdr:row>
          <xdr:rowOff>88900</xdr:rowOff>
        </xdr:from>
        <xdr:to>
          <xdr:col>11</xdr:col>
          <xdr:colOff>419100</xdr:colOff>
          <xdr:row>18</xdr:row>
          <xdr:rowOff>139700</xdr:rowOff>
        </xdr:to>
        <xdr:sp macro="" textlink="">
          <xdr:nvSpPr>
            <xdr:cNvPr id="94225" name="Button 17" hidden="1">
              <a:extLst>
                <a:ext uri="{63B3BB69-23CF-44E3-9099-C40C66FF867C}">
                  <a14:compatExt spid="_x0000_s9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Futterkurve Jungsauen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19</xdr:row>
          <xdr:rowOff>88900</xdr:rowOff>
        </xdr:from>
        <xdr:to>
          <xdr:col>11</xdr:col>
          <xdr:colOff>419100</xdr:colOff>
          <xdr:row>20</xdr:row>
          <xdr:rowOff>139700</xdr:rowOff>
        </xdr:to>
        <xdr:sp macro="" textlink="">
          <xdr:nvSpPr>
            <xdr:cNvPr id="94226" name="Button 18" hidden="1">
              <a:extLst>
                <a:ext uri="{63B3BB69-23CF-44E3-9099-C40C66FF867C}">
                  <a14:compatExt spid="_x0000_s9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Futterkurve Zuchteber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241300</xdr:colOff>
          <xdr:row>22</xdr:row>
          <xdr:rowOff>12700</xdr:rowOff>
        </xdr:from>
        <xdr:to>
          <xdr:col>7</xdr:col>
          <xdr:colOff>419100</xdr:colOff>
          <xdr:row>23</xdr:row>
          <xdr:rowOff>63500</xdr:rowOff>
        </xdr:to>
        <xdr:sp macro="" textlink="">
          <xdr:nvSpPr>
            <xdr:cNvPr id="94227" name="Button 19" hidden="1">
              <a:extLst>
                <a:ext uri="{63B3BB69-23CF-44E3-9099-C40C66FF867C}">
                  <a14:compatExt spid="_x0000_s9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Ausdruck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</xdr:row>
          <xdr:rowOff>0</xdr:rowOff>
        </xdr:from>
        <xdr:to>
          <xdr:col>7</xdr:col>
          <xdr:colOff>63500</xdr:colOff>
          <xdr:row>1</xdr:row>
          <xdr:rowOff>292100</xdr:rowOff>
        </xdr:to>
        <xdr:sp macro="" textlink="">
          <xdr:nvSpPr>
            <xdr:cNvPr id="117761" name="Button 1" hidden="1">
              <a:extLst>
                <a:ext uri="{63B3BB69-23CF-44E3-9099-C40C66FF867C}">
                  <a14:compatExt spid="_x0000_s117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292100</xdr:colOff>
          <xdr:row>1</xdr:row>
          <xdr:rowOff>0</xdr:rowOff>
        </xdr:from>
        <xdr:to>
          <xdr:col>12</xdr:col>
          <xdr:colOff>952500</xdr:colOff>
          <xdr:row>1</xdr:row>
          <xdr:rowOff>292100</xdr:rowOff>
        </xdr:to>
        <xdr:sp macro="" textlink="">
          <xdr:nvSpPr>
            <xdr:cNvPr id="117762" name="Button 2" hidden="1">
              <a:extLst>
                <a:ext uri="{63B3BB69-23CF-44E3-9099-C40C66FF867C}">
                  <a14:compatExt spid="_x0000_s117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63500</xdr:colOff>
          <xdr:row>0</xdr:row>
          <xdr:rowOff>50800</xdr:rowOff>
        </xdr:from>
        <xdr:to>
          <xdr:col>18</xdr:col>
          <xdr:colOff>101600</xdr:colOff>
          <xdr:row>1</xdr:row>
          <xdr:rowOff>266700</xdr:rowOff>
        </xdr:to>
        <xdr:sp macro="" textlink="">
          <xdr:nvSpPr>
            <xdr:cNvPr id="117763" name="Button 3" hidden="1">
              <a:extLst>
                <a:ext uri="{63B3BB69-23CF-44E3-9099-C40C66FF867C}">
                  <a14:compatExt spid="_x0000_s117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1282700</xdr:colOff>
          <xdr:row>1</xdr:row>
          <xdr:rowOff>25400</xdr:rowOff>
        </xdr:from>
        <xdr:to>
          <xdr:col>6</xdr:col>
          <xdr:colOff>25400</xdr:colOff>
          <xdr:row>2</xdr:row>
          <xdr:rowOff>0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469900</xdr:colOff>
          <xdr:row>1</xdr:row>
          <xdr:rowOff>12700</xdr:rowOff>
        </xdr:from>
        <xdr:to>
          <xdr:col>12</xdr:col>
          <xdr:colOff>114300</xdr:colOff>
          <xdr:row>1</xdr:row>
          <xdr:rowOff>292100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215900</xdr:colOff>
          <xdr:row>1</xdr:row>
          <xdr:rowOff>0</xdr:rowOff>
        </xdr:from>
        <xdr:to>
          <xdr:col>18</xdr:col>
          <xdr:colOff>381000</xdr:colOff>
          <xdr:row>1</xdr:row>
          <xdr:rowOff>292100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552450</xdr:colOff>
      <xdr:row>10</xdr:row>
      <xdr:rowOff>76200</xdr:rowOff>
    </xdr:from>
    <xdr:to>
      <xdr:col>9</xdr:col>
      <xdr:colOff>352425</xdr:colOff>
      <xdr:row>12</xdr:row>
      <xdr:rowOff>28575</xdr:rowOff>
    </xdr:to>
    <xdr:graphicFrame macro="">
      <xdr:nvGraphicFramePr>
        <xdr:cNvPr id="9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</xdr:row>
          <xdr:rowOff>0</xdr:rowOff>
        </xdr:from>
        <xdr:to>
          <xdr:col>3</xdr:col>
          <xdr:colOff>800100</xdr:colOff>
          <xdr:row>1</xdr:row>
          <xdr:rowOff>292100</xdr:rowOff>
        </xdr:to>
        <xdr:sp macro="" textlink="">
          <xdr:nvSpPr>
            <xdr:cNvPr id="9228" name="Butto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</xdr:row>
          <xdr:rowOff>12700</xdr:rowOff>
        </xdr:from>
        <xdr:to>
          <xdr:col>6</xdr:col>
          <xdr:colOff>812800</xdr:colOff>
          <xdr:row>1</xdr:row>
          <xdr:rowOff>292100</xdr:rowOff>
        </xdr:to>
        <xdr:sp macro="" textlink="">
          <xdr:nvSpPr>
            <xdr:cNvPr id="9229" name="Button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1</xdr:row>
          <xdr:rowOff>0</xdr:rowOff>
        </xdr:from>
        <xdr:to>
          <xdr:col>9</xdr:col>
          <xdr:colOff>812800</xdr:colOff>
          <xdr:row>1</xdr:row>
          <xdr:rowOff>292100</xdr:rowOff>
        </xdr:to>
        <xdr:sp macro="" textlink="">
          <xdr:nvSpPr>
            <xdr:cNvPr id="9230" name="Button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254000</xdr:colOff>
          <xdr:row>1</xdr:row>
          <xdr:rowOff>0</xdr:rowOff>
        </xdr:from>
        <xdr:to>
          <xdr:col>6</xdr:col>
          <xdr:colOff>520700</xdr:colOff>
          <xdr:row>1</xdr:row>
          <xdr:rowOff>292100</xdr:rowOff>
        </xdr:to>
        <xdr:sp macro="" textlink="">
          <xdr:nvSpPr>
            <xdr:cNvPr id="13317" name="Butto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241300</xdr:colOff>
          <xdr:row>1</xdr:row>
          <xdr:rowOff>0</xdr:rowOff>
        </xdr:from>
        <xdr:to>
          <xdr:col>9</xdr:col>
          <xdr:colOff>520700</xdr:colOff>
          <xdr:row>1</xdr:row>
          <xdr:rowOff>292100</xdr:rowOff>
        </xdr:to>
        <xdr:sp macro="" textlink="">
          <xdr:nvSpPr>
            <xdr:cNvPr id="13318" name="Button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0</xdr:row>
          <xdr:rowOff>63500</xdr:rowOff>
        </xdr:from>
        <xdr:to>
          <xdr:col>12</xdr:col>
          <xdr:colOff>482600</xdr:colOff>
          <xdr:row>1</xdr:row>
          <xdr:rowOff>279400</xdr:rowOff>
        </xdr:to>
        <xdr:sp macro="" textlink="">
          <xdr:nvSpPr>
            <xdr:cNvPr id="13319" name="Button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254000</xdr:colOff>
          <xdr:row>1</xdr:row>
          <xdr:rowOff>0</xdr:rowOff>
        </xdr:from>
        <xdr:to>
          <xdr:col>6</xdr:col>
          <xdr:colOff>444500</xdr:colOff>
          <xdr:row>1</xdr:row>
          <xdr:rowOff>292100</xdr:rowOff>
        </xdr:to>
        <xdr:sp macro="" textlink="">
          <xdr:nvSpPr>
            <xdr:cNvPr id="14346" name="Button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254000</xdr:colOff>
          <xdr:row>1</xdr:row>
          <xdr:rowOff>0</xdr:rowOff>
        </xdr:from>
        <xdr:to>
          <xdr:col>9</xdr:col>
          <xdr:colOff>444500</xdr:colOff>
          <xdr:row>1</xdr:row>
          <xdr:rowOff>292100</xdr:rowOff>
        </xdr:to>
        <xdr:sp macro="" textlink="">
          <xdr:nvSpPr>
            <xdr:cNvPr id="14347" name="Button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241300</xdr:colOff>
          <xdr:row>0</xdr:row>
          <xdr:rowOff>50800</xdr:rowOff>
        </xdr:from>
        <xdr:to>
          <xdr:col>12</xdr:col>
          <xdr:colOff>444500</xdr:colOff>
          <xdr:row>1</xdr:row>
          <xdr:rowOff>266700</xdr:rowOff>
        </xdr:to>
        <xdr:sp macro="" textlink="">
          <xdr:nvSpPr>
            <xdr:cNvPr id="14348" name="Button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254000</xdr:colOff>
          <xdr:row>1</xdr:row>
          <xdr:rowOff>0</xdr:rowOff>
        </xdr:from>
        <xdr:to>
          <xdr:col>6</xdr:col>
          <xdr:colOff>444500</xdr:colOff>
          <xdr:row>1</xdr:row>
          <xdr:rowOff>279400</xdr:rowOff>
        </xdr:to>
        <xdr:sp macro="" textlink="">
          <xdr:nvSpPr>
            <xdr:cNvPr id="83976" name="Button 8" hidden="1">
              <a:extLst>
                <a:ext uri="{63B3BB69-23CF-44E3-9099-C40C66FF867C}">
                  <a14:compatExt spid="_x0000_s83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622300</xdr:colOff>
          <xdr:row>1</xdr:row>
          <xdr:rowOff>0</xdr:rowOff>
        </xdr:from>
        <xdr:to>
          <xdr:col>10</xdr:col>
          <xdr:colOff>63500</xdr:colOff>
          <xdr:row>1</xdr:row>
          <xdr:rowOff>279400</xdr:rowOff>
        </xdr:to>
        <xdr:sp macro="" textlink="">
          <xdr:nvSpPr>
            <xdr:cNvPr id="83977" name="Button 9" hidden="1">
              <a:extLst>
                <a:ext uri="{63B3BB69-23CF-44E3-9099-C40C66FF867C}">
                  <a14:compatExt spid="_x0000_s83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0</xdr:row>
          <xdr:rowOff>50800</xdr:rowOff>
        </xdr:from>
        <xdr:to>
          <xdr:col>13</xdr:col>
          <xdr:colOff>393700</xdr:colOff>
          <xdr:row>1</xdr:row>
          <xdr:rowOff>254000</xdr:rowOff>
        </xdr:to>
        <xdr:sp macro="" textlink="">
          <xdr:nvSpPr>
            <xdr:cNvPr id="83978" name="Button 10" hidden="1">
              <a:extLst>
                <a:ext uri="{63B3BB69-23CF-44E3-9099-C40C66FF867C}">
                  <a14:compatExt spid="_x0000_s83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1</xdr:row>
          <xdr:rowOff>0</xdr:rowOff>
        </xdr:from>
        <xdr:to>
          <xdr:col>4</xdr:col>
          <xdr:colOff>25400</xdr:colOff>
          <xdr:row>1</xdr:row>
          <xdr:rowOff>292100</xdr:rowOff>
        </xdr:to>
        <xdr:sp macro="" textlink="">
          <xdr:nvSpPr>
            <xdr:cNvPr id="151553" name="Button 1" hidden="1">
              <a:extLst>
                <a:ext uri="{63B3BB69-23CF-44E3-9099-C40C66FF867C}">
                  <a14:compatExt spid="_x0000_s15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1</xdr:row>
          <xdr:rowOff>0</xdr:rowOff>
        </xdr:from>
        <xdr:to>
          <xdr:col>6</xdr:col>
          <xdr:colOff>558800</xdr:colOff>
          <xdr:row>1</xdr:row>
          <xdr:rowOff>292100</xdr:rowOff>
        </xdr:to>
        <xdr:sp macro="" textlink="">
          <xdr:nvSpPr>
            <xdr:cNvPr id="151554" name="Button 2" hidden="1">
              <a:extLst>
                <a:ext uri="{63B3BB69-23CF-44E3-9099-C40C66FF867C}">
                  <a14:compatExt spid="_x0000_s15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0</xdr:row>
          <xdr:rowOff>50800</xdr:rowOff>
        </xdr:from>
        <xdr:to>
          <xdr:col>10</xdr:col>
          <xdr:colOff>63500</xdr:colOff>
          <xdr:row>1</xdr:row>
          <xdr:rowOff>279400</xdr:rowOff>
        </xdr:to>
        <xdr:sp macro="" textlink="">
          <xdr:nvSpPr>
            <xdr:cNvPr id="151555" name="Button 3" hidden="1">
              <a:extLst>
                <a:ext uri="{63B3BB69-23CF-44E3-9099-C40C66FF867C}">
                  <a14:compatExt spid="_x0000_s15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1</xdr:row>
          <xdr:rowOff>0</xdr:rowOff>
        </xdr:from>
        <xdr:to>
          <xdr:col>2</xdr:col>
          <xdr:colOff>406400</xdr:colOff>
          <xdr:row>1</xdr:row>
          <xdr:rowOff>292100</xdr:rowOff>
        </xdr:to>
        <xdr:sp macro="" textlink="">
          <xdr:nvSpPr>
            <xdr:cNvPr id="119809" name="Button 1" hidden="1">
              <a:extLst>
                <a:ext uri="{63B3BB69-23CF-44E3-9099-C40C66FF867C}">
                  <a14:compatExt spid="_x0000_s119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939800</xdr:colOff>
          <xdr:row>0</xdr:row>
          <xdr:rowOff>63500</xdr:rowOff>
        </xdr:from>
        <xdr:to>
          <xdr:col>4</xdr:col>
          <xdr:colOff>749300</xdr:colOff>
          <xdr:row>1</xdr:row>
          <xdr:rowOff>279400</xdr:rowOff>
        </xdr:to>
        <xdr:sp macro="" textlink="">
          <xdr:nvSpPr>
            <xdr:cNvPr id="119810" name="Button 2" hidden="1">
              <a:extLst>
                <a:ext uri="{63B3BB69-23CF-44E3-9099-C40C66FF867C}">
                  <a14:compatExt spid="_x0000_s119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482600</xdr:colOff>
          <xdr:row>0</xdr:row>
          <xdr:rowOff>38100</xdr:rowOff>
        </xdr:from>
        <xdr:to>
          <xdr:col>7</xdr:col>
          <xdr:colOff>330200</xdr:colOff>
          <xdr:row>1</xdr:row>
          <xdr:rowOff>279400</xdr:rowOff>
        </xdr:to>
        <xdr:sp macro="" textlink="">
          <xdr:nvSpPr>
            <xdr:cNvPr id="119811" name="Button 3" hidden="1">
              <a:extLst>
                <a:ext uri="{63B3BB69-23CF-44E3-9099-C40C66FF867C}">
                  <a14:compatExt spid="_x0000_s119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428625</xdr:colOff>
      <xdr:row>6</xdr:row>
      <xdr:rowOff>152400</xdr:rowOff>
    </xdr:to>
    <xdr:pic>
      <xdr:nvPicPr>
        <xdr:cNvPr id="105503" name="Picture 16" descr="HM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19100"/>
          <a:ext cx="5048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</xdr:row>
          <xdr:rowOff>25400</xdr:rowOff>
        </xdr:from>
        <xdr:to>
          <xdr:col>4</xdr:col>
          <xdr:colOff>177800</xdr:colOff>
          <xdr:row>2</xdr:row>
          <xdr:rowOff>0</xdr:rowOff>
        </xdr:to>
        <xdr:sp macro="" textlink="">
          <xdr:nvSpPr>
            <xdr:cNvPr id="105473" name="Button 1" hidden="1">
              <a:extLst>
                <a:ext uri="{63B3BB69-23CF-44E3-9099-C40C66FF867C}">
                  <a14:compatExt spid="_x0000_s105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1</xdr:row>
          <xdr:rowOff>25400</xdr:rowOff>
        </xdr:from>
        <xdr:to>
          <xdr:col>7</xdr:col>
          <xdr:colOff>622300</xdr:colOff>
          <xdr:row>2</xdr:row>
          <xdr:rowOff>0</xdr:rowOff>
        </xdr:to>
        <xdr:sp macro="" textlink="">
          <xdr:nvSpPr>
            <xdr:cNvPr id="105480" name="Button 8" hidden="1">
              <a:extLst>
                <a:ext uri="{63B3BB69-23CF-44E3-9099-C40C66FF867C}">
                  <a14:compatExt spid="_x0000_s105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177800</xdr:colOff>
          <xdr:row>1</xdr:row>
          <xdr:rowOff>12700</xdr:rowOff>
        </xdr:from>
        <xdr:to>
          <xdr:col>11</xdr:col>
          <xdr:colOff>635000</xdr:colOff>
          <xdr:row>1</xdr:row>
          <xdr:rowOff>292100</xdr:rowOff>
        </xdr:to>
        <xdr:sp macro="" textlink="">
          <xdr:nvSpPr>
            <xdr:cNvPr id="105485" name="Button 13" hidden="1">
              <a:extLst>
                <a:ext uri="{63B3BB69-23CF-44E3-9099-C40C66FF867C}">
                  <a14:compatExt spid="_x0000_s105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Preiswürdigkeit Fu.mi.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7</xdr:row>
          <xdr:rowOff>114300</xdr:rowOff>
        </xdr:from>
        <xdr:to>
          <xdr:col>11</xdr:col>
          <xdr:colOff>635000</xdr:colOff>
          <xdr:row>70</xdr:row>
          <xdr:rowOff>127000</xdr:rowOff>
        </xdr:to>
        <xdr:sp macro="" textlink="">
          <xdr:nvSpPr>
            <xdr:cNvPr id="105502" name="Object 30" hidden="1">
              <a:extLst>
                <a:ext uri="{63B3BB69-23CF-44E3-9099-C40C66FF867C}">
                  <a14:compatExt spid="_x0000_s105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9525</xdr:rowOff>
    </xdr:from>
    <xdr:to>
      <xdr:col>1</xdr:col>
      <xdr:colOff>495300</xdr:colOff>
      <xdr:row>6</xdr:row>
      <xdr:rowOff>161925</xdr:rowOff>
    </xdr:to>
    <xdr:pic>
      <xdr:nvPicPr>
        <xdr:cNvPr id="136196" name="Picture 16" descr="HM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38150"/>
          <a:ext cx="5048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1</xdr:row>
          <xdr:rowOff>12700</xdr:rowOff>
        </xdr:from>
        <xdr:to>
          <xdr:col>1</xdr:col>
          <xdr:colOff>1701800</xdr:colOff>
          <xdr:row>1</xdr:row>
          <xdr:rowOff>292100</xdr:rowOff>
        </xdr:to>
        <xdr:sp macro="" textlink="">
          <xdr:nvSpPr>
            <xdr:cNvPr id="136193" name="Button 1" hidden="1">
              <a:extLst>
                <a:ext uri="{63B3BB69-23CF-44E3-9099-C40C66FF867C}">
                  <a14:compatExt spid="_x0000_s136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</xdr:row>
          <xdr:rowOff>0</xdr:rowOff>
        </xdr:from>
        <xdr:to>
          <xdr:col>6</xdr:col>
          <xdr:colOff>520700</xdr:colOff>
          <xdr:row>1</xdr:row>
          <xdr:rowOff>292100</xdr:rowOff>
        </xdr:to>
        <xdr:sp macro="" textlink="">
          <xdr:nvSpPr>
            <xdr:cNvPr id="136194" name="Button 2" hidden="1">
              <a:extLst>
                <a:ext uri="{63B3BB69-23CF-44E3-9099-C40C66FF867C}">
                  <a14:compatExt spid="_x0000_s136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596900</xdr:colOff>
          <xdr:row>1</xdr:row>
          <xdr:rowOff>12700</xdr:rowOff>
        </xdr:from>
        <xdr:to>
          <xdr:col>13</xdr:col>
          <xdr:colOff>12700</xdr:colOff>
          <xdr:row>1</xdr:row>
          <xdr:rowOff>292100</xdr:rowOff>
        </xdr:to>
        <xdr:sp macro="" textlink="">
          <xdr:nvSpPr>
            <xdr:cNvPr id="136195" name="Button 3" hidden="1">
              <a:extLst>
                <a:ext uri="{63B3BB69-23CF-44E3-9099-C40C66FF867C}">
                  <a14:compatExt spid="_x0000_s136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Preiswürdigkeit Fu.mi.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28575</xdr:rowOff>
    </xdr:from>
    <xdr:to>
      <xdr:col>1</xdr:col>
      <xdr:colOff>590550</xdr:colOff>
      <xdr:row>6</xdr:row>
      <xdr:rowOff>104775</xdr:rowOff>
    </xdr:to>
    <xdr:pic>
      <xdr:nvPicPr>
        <xdr:cNvPr id="1307" name="Picture 9" descr="HM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476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</xdr:row>
          <xdr:rowOff>0</xdr:rowOff>
        </xdr:from>
        <xdr:to>
          <xdr:col>2</xdr:col>
          <xdr:colOff>1104900</xdr:colOff>
          <xdr:row>1</xdr:row>
          <xdr:rowOff>292100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1346200</xdr:colOff>
          <xdr:row>1</xdr:row>
          <xdr:rowOff>12700</xdr:rowOff>
        </xdr:from>
        <xdr:to>
          <xdr:col>4</xdr:col>
          <xdr:colOff>304800</xdr:colOff>
          <xdr:row>1</xdr:row>
          <xdr:rowOff>292100</xdr:rowOff>
        </xdr:to>
        <xdr:sp macro="" textlink="">
          <xdr:nvSpPr>
            <xdr:cNvPr id="1286" name="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254000</xdr:colOff>
          <xdr:row>1</xdr:row>
          <xdr:rowOff>0</xdr:rowOff>
        </xdr:from>
        <xdr:to>
          <xdr:col>16</xdr:col>
          <xdr:colOff>127000</xdr:colOff>
          <xdr:row>1</xdr:row>
          <xdr:rowOff>292100</xdr:rowOff>
        </xdr:to>
        <xdr:sp macro="" textlink="">
          <xdr:nvSpPr>
            <xdr:cNvPr id="1288" name="Butto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Orientierungswerte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1</xdr:row>
          <xdr:rowOff>0</xdr:rowOff>
        </xdr:from>
        <xdr:to>
          <xdr:col>20</xdr:col>
          <xdr:colOff>177800</xdr:colOff>
          <xdr:row>1</xdr:row>
          <xdr:rowOff>292100</xdr:rowOff>
        </xdr:to>
        <xdr:sp macro="" textlink="">
          <xdr:nvSpPr>
            <xdr:cNvPr id="1289" name="Button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Höchstgehalte Fu.mi.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368300</xdr:colOff>
          <xdr:row>1</xdr:row>
          <xdr:rowOff>12700</xdr:rowOff>
        </xdr:from>
        <xdr:to>
          <xdr:col>24</xdr:col>
          <xdr:colOff>215900</xdr:colOff>
          <xdr:row>1</xdr:row>
          <xdr:rowOff>292100</xdr:rowOff>
        </xdr:to>
        <xdr:sp macro="" textlink="">
          <xdr:nvSpPr>
            <xdr:cNvPr id="1290" name="Butto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Neue Ration rechnen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584200</xdr:colOff>
          <xdr:row>1</xdr:row>
          <xdr:rowOff>12700</xdr:rowOff>
        </xdr:from>
        <xdr:to>
          <xdr:col>7</xdr:col>
          <xdr:colOff>342900</xdr:colOff>
          <xdr:row>1</xdr:row>
          <xdr:rowOff>292100</xdr:rowOff>
        </xdr:to>
        <xdr:sp macro="" textlink="">
          <xdr:nvSpPr>
            <xdr:cNvPr id="1300" name="Button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Mineralfutter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</xdr:row>
          <xdr:rowOff>12700</xdr:rowOff>
        </xdr:from>
        <xdr:to>
          <xdr:col>11</xdr:col>
          <xdr:colOff>444500</xdr:colOff>
          <xdr:row>1</xdr:row>
          <xdr:rowOff>292100</xdr:rowOff>
        </xdr:to>
        <xdr:sp macro="" textlink="">
          <xdr:nvSpPr>
            <xdr:cNvPr id="1301" name="Button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Ergänzungsfutter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406400</xdr:colOff>
          <xdr:row>1</xdr:row>
          <xdr:rowOff>0</xdr:rowOff>
        </xdr:from>
        <xdr:to>
          <xdr:col>28</xdr:col>
          <xdr:colOff>292100</xdr:colOff>
          <xdr:row>1</xdr:row>
          <xdr:rowOff>292100</xdr:rowOff>
        </xdr:to>
        <xdr:sp macro="" textlink="">
          <xdr:nvSpPr>
            <xdr:cNvPr id="1302" name="Button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Ausdruck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</xdr:row>
          <xdr:rowOff>0</xdr:rowOff>
        </xdr:from>
        <xdr:to>
          <xdr:col>3</xdr:col>
          <xdr:colOff>1651000</xdr:colOff>
          <xdr:row>1</xdr:row>
          <xdr:rowOff>292100</xdr:rowOff>
        </xdr:to>
        <xdr:sp macro="" textlink="">
          <xdr:nvSpPr>
            <xdr:cNvPr id="84995" name="Button 3" hidden="1">
              <a:extLst>
                <a:ext uri="{63B3BB69-23CF-44E3-9099-C40C66FF867C}">
                  <a14:compatExt spid="_x0000_s84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1803400</xdr:colOff>
          <xdr:row>1</xdr:row>
          <xdr:rowOff>0</xdr:rowOff>
        </xdr:from>
        <xdr:to>
          <xdr:col>6</xdr:col>
          <xdr:colOff>266700</xdr:colOff>
          <xdr:row>1</xdr:row>
          <xdr:rowOff>292100</xdr:rowOff>
        </xdr:to>
        <xdr:sp macro="" textlink="">
          <xdr:nvSpPr>
            <xdr:cNvPr id="84996" name="Button 4" hidden="1">
              <a:extLst>
                <a:ext uri="{63B3BB69-23CF-44E3-9099-C40C66FF867C}">
                  <a14:compatExt spid="_x0000_s84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292100</xdr:colOff>
          <xdr:row>1</xdr:row>
          <xdr:rowOff>0</xdr:rowOff>
        </xdr:from>
        <xdr:to>
          <xdr:col>9</xdr:col>
          <xdr:colOff>558800</xdr:colOff>
          <xdr:row>1</xdr:row>
          <xdr:rowOff>292100</xdr:rowOff>
        </xdr:to>
        <xdr:sp macro="" textlink="">
          <xdr:nvSpPr>
            <xdr:cNvPr id="84997" name="Button 5" hidden="1">
              <a:extLst>
                <a:ext uri="{63B3BB69-23CF-44E3-9099-C40C66FF867C}">
                  <a14:compatExt spid="_x0000_s84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Mineralfutter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1</xdr:row>
          <xdr:rowOff>0</xdr:rowOff>
        </xdr:from>
        <xdr:to>
          <xdr:col>14</xdr:col>
          <xdr:colOff>660400</xdr:colOff>
          <xdr:row>1</xdr:row>
          <xdr:rowOff>292100</xdr:rowOff>
        </xdr:to>
        <xdr:sp macro="" textlink="">
          <xdr:nvSpPr>
            <xdr:cNvPr id="84998" name="Button 6" hidden="1">
              <a:extLst>
                <a:ext uri="{63B3BB69-23CF-44E3-9099-C40C66FF867C}">
                  <a14:compatExt spid="_x0000_s84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Preiswürdigkeit Fu.mi.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63500</xdr:colOff>
          <xdr:row>1</xdr:row>
          <xdr:rowOff>0</xdr:rowOff>
        </xdr:from>
        <xdr:to>
          <xdr:col>17</xdr:col>
          <xdr:colOff>342900</xdr:colOff>
          <xdr:row>1</xdr:row>
          <xdr:rowOff>292100</xdr:rowOff>
        </xdr:to>
        <xdr:sp macro="" textlink="">
          <xdr:nvSpPr>
            <xdr:cNvPr id="84999" name="Button 7" hidden="1">
              <a:extLst>
                <a:ext uri="{63B3BB69-23CF-44E3-9099-C40C66FF867C}">
                  <a14:compatExt spid="_x0000_s84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698500</xdr:colOff>
          <xdr:row>1</xdr:row>
          <xdr:rowOff>0</xdr:rowOff>
        </xdr:from>
        <xdr:to>
          <xdr:col>12</xdr:col>
          <xdr:colOff>254000</xdr:colOff>
          <xdr:row>1</xdr:row>
          <xdr:rowOff>292100</xdr:rowOff>
        </xdr:to>
        <xdr:sp macro="" textlink="">
          <xdr:nvSpPr>
            <xdr:cNvPr id="85001" name="Button 9" hidden="1">
              <a:extLst>
                <a:ext uri="{63B3BB69-23CF-44E3-9099-C40C66FF867C}">
                  <a14:compatExt spid="_x0000_s85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Ergänzungsfutter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</xdr:row>
          <xdr:rowOff>0</xdr:rowOff>
        </xdr:from>
        <xdr:to>
          <xdr:col>4</xdr:col>
          <xdr:colOff>558800</xdr:colOff>
          <xdr:row>1</xdr:row>
          <xdr:rowOff>292100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</xdr:row>
          <xdr:rowOff>0</xdr:rowOff>
        </xdr:from>
        <xdr:to>
          <xdr:col>7</xdr:col>
          <xdr:colOff>558800</xdr:colOff>
          <xdr:row>1</xdr:row>
          <xdr:rowOff>292100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1</xdr:row>
          <xdr:rowOff>0</xdr:rowOff>
        </xdr:from>
        <xdr:to>
          <xdr:col>10</xdr:col>
          <xdr:colOff>571500</xdr:colOff>
          <xdr:row>1</xdr:row>
          <xdr:rowOff>292100</xdr:rowOff>
        </xdr:to>
        <xdr:sp macro="" textlink="">
          <xdr:nvSpPr>
            <xdr:cNvPr id="7175" name="Button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1</xdr:row>
          <xdr:rowOff>12700</xdr:rowOff>
        </xdr:from>
        <xdr:to>
          <xdr:col>3</xdr:col>
          <xdr:colOff>1727200</xdr:colOff>
          <xdr:row>1</xdr:row>
          <xdr:rowOff>292100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</xdr:row>
          <xdr:rowOff>12700</xdr:rowOff>
        </xdr:from>
        <xdr:to>
          <xdr:col>7</xdr:col>
          <xdr:colOff>508000</xdr:colOff>
          <xdr:row>1</xdr:row>
          <xdr:rowOff>292100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101600</xdr:colOff>
          <xdr:row>1</xdr:row>
          <xdr:rowOff>0</xdr:rowOff>
        </xdr:from>
        <xdr:to>
          <xdr:col>13</xdr:col>
          <xdr:colOff>254000</xdr:colOff>
          <xdr:row>1</xdr:row>
          <xdr:rowOff>292100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317500</xdr:colOff>
          <xdr:row>1</xdr:row>
          <xdr:rowOff>12700</xdr:rowOff>
        </xdr:from>
        <xdr:to>
          <xdr:col>17</xdr:col>
          <xdr:colOff>977900</xdr:colOff>
          <xdr:row>1</xdr:row>
          <xdr:rowOff>292100</xdr:rowOff>
        </xdr:to>
        <xdr:sp macro="" textlink="">
          <xdr:nvSpPr>
            <xdr:cNvPr id="12294" name="Butto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einfügen Ergänzer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1</xdr:row>
          <xdr:rowOff>0</xdr:rowOff>
        </xdr:from>
        <xdr:to>
          <xdr:col>3</xdr:col>
          <xdr:colOff>2057400</xdr:colOff>
          <xdr:row>1</xdr:row>
          <xdr:rowOff>292100</xdr:rowOff>
        </xdr:to>
        <xdr:sp macro="" textlink="">
          <xdr:nvSpPr>
            <xdr:cNvPr id="125953" name="Button 1" hidden="1">
              <a:extLst>
                <a:ext uri="{63B3BB69-23CF-44E3-9099-C40C66FF867C}">
                  <a14:compatExt spid="_x0000_s125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1</xdr:row>
          <xdr:rowOff>12700</xdr:rowOff>
        </xdr:from>
        <xdr:to>
          <xdr:col>8</xdr:col>
          <xdr:colOff>355600</xdr:colOff>
          <xdr:row>1</xdr:row>
          <xdr:rowOff>292100</xdr:rowOff>
        </xdr:to>
        <xdr:sp macro="" textlink="">
          <xdr:nvSpPr>
            <xdr:cNvPr id="125954" name="Button 2" hidden="1">
              <a:extLst>
                <a:ext uri="{63B3BB69-23CF-44E3-9099-C40C66FF867C}">
                  <a14:compatExt spid="_x0000_s125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368300</xdr:colOff>
          <xdr:row>1</xdr:row>
          <xdr:rowOff>0</xdr:rowOff>
        </xdr:from>
        <xdr:to>
          <xdr:col>14</xdr:col>
          <xdr:colOff>12700</xdr:colOff>
          <xdr:row>1</xdr:row>
          <xdr:rowOff>292100</xdr:rowOff>
        </xdr:to>
        <xdr:sp macro="" textlink="">
          <xdr:nvSpPr>
            <xdr:cNvPr id="125955" name="Button 3" hidden="1">
              <a:extLst>
                <a:ext uri="{63B3BB69-23CF-44E3-9099-C40C66FF867C}">
                  <a14:compatExt spid="_x0000_s125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381000</xdr:colOff>
          <xdr:row>1</xdr:row>
          <xdr:rowOff>12700</xdr:rowOff>
        </xdr:from>
        <xdr:to>
          <xdr:col>17</xdr:col>
          <xdr:colOff>1066800</xdr:colOff>
          <xdr:row>1</xdr:row>
          <xdr:rowOff>292100</xdr:rowOff>
        </xdr:to>
        <xdr:sp macro="" textlink="">
          <xdr:nvSpPr>
            <xdr:cNvPr id="125960" name="Button 8" hidden="1">
              <a:extLst>
                <a:ext uri="{63B3BB69-23CF-44E3-9099-C40C66FF867C}">
                  <a14:compatExt spid="_x0000_s125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einfügen Mineralfutter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47625</xdr:rowOff>
    </xdr:from>
    <xdr:to>
      <xdr:col>2</xdr:col>
      <xdr:colOff>457200</xdr:colOff>
      <xdr:row>7</xdr:row>
      <xdr:rowOff>114300</xdr:rowOff>
    </xdr:to>
    <xdr:pic>
      <xdr:nvPicPr>
        <xdr:cNvPr id="3201" name="Picture 6" descr="HM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66725"/>
          <a:ext cx="6762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520700</xdr:colOff>
          <xdr:row>1</xdr:row>
          <xdr:rowOff>12700</xdr:rowOff>
        </xdr:from>
        <xdr:to>
          <xdr:col>2</xdr:col>
          <xdr:colOff>2235200</xdr:colOff>
          <xdr:row>1</xdr:row>
          <xdr:rowOff>292100</xdr:rowOff>
        </xdr:to>
        <xdr:sp macro="" textlink="">
          <xdr:nvSpPr>
            <xdr:cNvPr id="3192" name="Button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1</xdr:row>
          <xdr:rowOff>12700</xdr:rowOff>
        </xdr:from>
        <xdr:to>
          <xdr:col>7</xdr:col>
          <xdr:colOff>215900</xdr:colOff>
          <xdr:row>1</xdr:row>
          <xdr:rowOff>292100</xdr:rowOff>
        </xdr:to>
        <xdr:sp macro="" textlink="">
          <xdr:nvSpPr>
            <xdr:cNvPr id="3193" name="Button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Futterberechnung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355600</xdr:colOff>
          <xdr:row>1</xdr:row>
          <xdr:rowOff>12700</xdr:rowOff>
        </xdr:from>
        <xdr:to>
          <xdr:col>14</xdr:col>
          <xdr:colOff>152400</xdr:colOff>
          <xdr:row>1</xdr:row>
          <xdr:rowOff>292100</xdr:rowOff>
        </xdr:to>
        <xdr:sp macro="" textlink="">
          <xdr:nvSpPr>
            <xdr:cNvPr id="3194" name="Button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Futtermittel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1</xdr:row>
          <xdr:rowOff>12700</xdr:rowOff>
        </xdr:from>
        <xdr:to>
          <xdr:col>21</xdr:col>
          <xdr:colOff>25400</xdr:colOff>
          <xdr:row>1</xdr:row>
          <xdr:rowOff>292100</xdr:rowOff>
        </xdr:to>
        <xdr:sp macro="" textlink="">
          <xdr:nvSpPr>
            <xdr:cNvPr id="3195" name="Button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omic Sans MS"/>
                  <a:ea typeface="Comic Sans MS"/>
                  <a:cs typeface="Comic Sans MS"/>
                </a:rPr>
                <a:t>Futterkurve Mast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" Type="http://schemas.openxmlformats.org/officeDocument/2006/relationships/hyperlink" Target="mailto:kajo.hollmichel@llh.hessen.de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10" Type="http://schemas.openxmlformats.org/officeDocument/2006/relationships/ctrlProp" Target="../ctrlProps/ctrlProp7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0.xml"/><Relationship Id="rId4" Type="http://schemas.openxmlformats.org/officeDocument/2006/relationships/ctrlProp" Target="../ctrlProps/ctrlProp51.xml"/><Relationship Id="rId5" Type="http://schemas.openxmlformats.org/officeDocument/2006/relationships/ctrlProp" Target="../ctrlProps/ctrlProp52.xml"/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3.xml"/><Relationship Id="rId4" Type="http://schemas.openxmlformats.org/officeDocument/2006/relationships/ctrlProp" Target="../ctrlProps/ctrlProp54.xml"/><Relationship Id="rId5" Type="http://schemas.openxmlformats.org/officeDocument/2006/relationships/ctrlProp" Target="../ctrlProps/ctrlProp55.xml"/><Relationship Id="rId6" Type="http://schemas.openxmlformats.org/officeDocument/2006/relationships/comments" Target="../comments7.xml"/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6.xml"/><Relationship Id="rId4" Type="http://schemas.openxmlformats.org/officeDocument/2006/relationships/ctrlProp" Target="../ctrlProps/ctrlProp57.xml"/><Relationship Id="rId5" Type="http://schemas.openxmlformats.org/officeDocument/2006/relationships/ctrlProp" Target="../ctrlProps/ctrlProp58.xml"/><Relationship Id="rId6" Type="http://schemas.openxmlformats.org/officeDocument/2006/relationships/comments" Target="../comments8.xml"/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9.xml"/><Relationship Id="rId4" Type="http://schemas.openxmlformats.org/officeDocument/2006/relationships/ctrlProp" Target="../ctrlProps/ctrlProp60.xml"/><Relationship Id="rId5" Type="http://schemas.openxmlformats.org/officeDocument/2006/relationships/ctrlProp" Target="../ctrlProps/ctrlProp61.xml"/><Relationship Id="rId6" Type="http://schemas.openxmlformats.org/officeDocument/2006/relationships/comments" Target="../comments9.xml"/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2.xml"/><Relationship Id="rId4" Type="http://schemas.openxmlformats.org/officeDocument/2006/relationships/ctrlProp" Target="../ctrlProps/ctrlProp63.xml"/><Relationship Id="rId5" Type="http://schemas.openxmlformats.org/officeDocument/2006/relationships/ctrlProp" Target="../ctrlProps/ctrlProp64.xml"/><Relationship Id="rId6" Type="http://schemas.openxmlformats.org/officeDocument/2006/relationships/comments" Target="../comments10.xml"/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5.xml"/><Relationship Id="rId4" Type="http://schemas.openxmlformats.org/officeDocument/2006/relationships/ctrlProp" Target="../ctrlProps/ctrlProp66.xml"/><Relationship Id="rId5" Type="http://schemas.openxmlformats.org/officeDocument/2006/relationships/ctrlProp" Target="../ctrlProps/ctrlProp67.xml"/><Relationship Id="rId6" Type="http://schemas.openxmlformats.org/officeDocument/2006/relationships/comments" Target="../comments11.xml"/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8.xml"/><Relationship Id="rId4" Type="http://schemas.openxmlformats.org/officeDocument/2006/relationships/ctrlProp" Target="../ctrlProps/ctrlProp69.xml"/><Relationship Id="rId5" Type="http://schemas.openxmlformats.org/officeDocument/2006/relationships/ctrlProp" Target="../ctrlProps/ctrlProp70.xml"/><Relationship Id="rId1" Type="http://schemas.openxmlformats.org/officeDocument/2006/relationships/drawing" Target="../drawings/drawing16.xml"/><Relationship Id="rId2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1.xml"/><Relationship Id="rId4" Type="http://schemas.openxmlformats.org/officeDocument/2006/relationships/ctrlProp" Target="../ctrlProps/ctrlProp72.xml"/><Relationship Id="rId5" Type="http://schemas.openxmlformats.org/officeDocument/2006/relationships/ctrlProp" Target="../ctrlProps/ctrlProp73.xml"/><Relationship Id="rId1" Type="http://schemas.openxmlformats.org/officeDocument/2006/relationships/drawing" Target="../drawings/drawing17.xml"/><Relationship Id="rId2" Type="http://schemas.openxmlformats.org/officeDocument/2006/relationships/vmlDrawing" Target="../drawings/vmlDrawing1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-Dokument1.docx"/><Relationship Id="rId4" Type="http://schemas.openxmlformats.org/officeDocument/2006/relationships/image" Target="../media/image4.emf"/><Relationship Id="rId5" Type="http://schemas.openxmlformats.org/officeDocument/2006/relationships/ctrlProp" Target="../ctrlProps/ctrlProp15.xml"/><Relationship Id="rId6" Type="http://schemas.openxmlformats.org/officeDocument/2006/relationships/ctrlProp" Target="../ctrlProps/ctrlProp16.xml"/><Relationship Id="rId7" Type="http://schemas.openxmlformats.org/officeDocument/2006/relationships/ctrlProp" Target="../ctrlProps/ctrlProp17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8.xml"/><Relationship Id="rId4" Type="http://schemas.openxmlformats.org/officeDocument/2006/relationships/ctrlProp" Target="../ctrlProps/ctrlProp19.xml"/><Relationship Id="rId5" Type="http://schemas.openxmlformats.org/officeDocument/2006/relationships/ctrlProp" Target="../ctrlProps/ctrlProp20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1.xml"/><Relationship Id="rId4" Type="http://schemas.openxmlformats.org/officeDocument/2006/relationships/ctrlProp" Target="../ctrlProps/ctrlProp22.xml"/><Relationship Id="rId5" Type="http://schemas.openxmlformats.org/officeDocument/2006/relationships/ctrlProp" Target="../ctrlProps/ctrlProp23.xml"/><Relationship Id="rId6" Type="http://schemas.openxmlformats.org/officeDocument/2006/relationships/ctrlProp" Target="../ctrlProps/ctrlProp24.xml"/><Relationship Id="rId7" Type="http://schemas.openxmlformats.org/officeDocument/2006/relationships/ctrlProp" Target="../ctrlProps/ctrlProp25.xml"/><Relationship Id="rId8" Type="http://schemas.openxmlformats.org/officeDocument/2006/relationships/ctrlProp" Target="../ctrlProps/ctrlProp26.xml"/><Relationship Id="rId9" Type="http://schemas.openxmlformats.org/officeDocument/2006/relationships/ctrlProp" Target="../ctrlProps/ctrlProp27.xml"/><Relationship Id="rId10" Type="http://schemas.openxmlformats.org/officeDocument/2006/relationships/ctrlProp" Target="../ctrlProps/ctrlProp28.xml"/><Relationship Id="rId11" Type="http://schemas.openxmlformats.org/officeDocument/2006/relationships/comments" Target="../comments1.xml"/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9.xml"/><Relationship Id="rId4" Type="http://schemas.openxmlformats.org/officeDocument/2006/relationships/ctrlProp" Target="../ctrlProps/ctrlProp30.xml"/><Relationship Id="rId5" Type="http://schemas.openxmlformats.org/officeDocument/2006/relationships/ctrlProp" Target="../ctrlProps/ctrlProp31.xml"/><Relationship Id="rId6" Type="http://schemas.openxmlformats.org/officeDocument/2006/relationships/ctrlProp" Target="../ctrlProps/ctrlProp32.xml"/><Relationship Id="rId7" Type="http://schemas.openxmlformats.org/officeDocument/2006/relationships/ctrlProp" Target="../ctrlProps/ctrlProp33.xml"/><Relationship Id="rId8" Type="http://schemas.openxmlformats.org/officeDocument/2006/relationships/ctrlProp" Target="../ctrlProps/ctrlProp34.xml"/><Relationship Id="rId9" Type="http://schemas.openxmlformats.org/officeDocument/2006/relationships/comments" Target="../comments2.xml"/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5.xml"/><Relationship Id="rId4" Type="http://schemas.openxmlformats.org/officeDocument/2006/relationships/ctrlProp" Target="../ctrlProps/ctrlProp36.xml"/><Relationship Id="rId5" Type="http://schemas.openxmlformats.org/officeDocument/2006/relationships/ctrlProp" Target="../ctrlProps/ctrlProp37.xml"/><Relationship Id="rId6" Type="http://schemas.openxmlformats.org/officeDocument/2006/relationships/comments" Target="../comments3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8.xml"/><Relationship Id="rId4" Type="http://schemas.openxmlformats.org/officeDocument/2006/relationships/ctrlProp" Target="../ctrlProps/ctrlProp39.xml"/><Relationship Id="rId5" Type="http://schemas.openxmlformats.org/officeDocument/2006/relationships/ctrlProp" Target="../ctrlProps/ctrlProp40.xml"/><Relationship Id="rId6" Type="http://schemas.openxmlformats.org/officeDocument/2006/relationships/ctrlProp" Target="../ctrlProps/ctrlProp41.xml"/><Relationship Id="rId7" Type="http://schemas.openxmlformats.org/officeDocument/2006/relationships/comments" Target="../comments4.xml"/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2.xml"/><Relationship Id="rId4" Type="http://schemas.openxmlformats.org/officeDocument/2006/relationships/ctrlProp" Target="../ctrlProps/ctrlProp43.xml"/><Relationship Id="rId5" Type="http://schemas.openxmlformats.org/officeDocument/2006/relationships/ctrlProp" Target="../ctrlProps/ctrlProp44.xml"/><Relationship Id="rId6" Type="http://schemas.openxmlformats.org/officeDocument/2006/relationships/ctrlProp" Target="../ctrlProps/ctrlProp45.xml"/><Relationship Id="rId7" Type="http://schemas.openxmlformats.org/officeDocument/2006/relationships/comments" Target="../comments5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6.xml"/><Relationship Id="rId4" Type="http://schemas.openxmlformats.org/officeDocument/2006/relationships/ctrlProp" Target="../ctrlProps/ctrlProp47.xml"/><Relationship Id="rId5" Type="http://schemas.openxmlformats.org/officeDocument/2006/relationships/ctrlProp" Target="../ctrlProps/ctrlProp48.xml"/><Relationship Id="rId6" Type="http://schemas.openxmlformats.org/officeDocument/2006/relationships/ctrlProp" Target="../ctrlProps/ctrlProp49.xml"/><Relationship Id="rId7" Type="http://schemas.openxmlformats.org/officeDocument/2006/relationships/comments" Target="../comments6.xml"/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 enableFormatConditionsCalculation="0">
    <tabColor rgb="FF002060"/>
    <pageSetUpPr fitToPage="1"/>
  </sheetPr>
  <dimension ref="F3:L48"/>
  <sheetViews>
    <sheetView showGridLines="0" showRowColHeaders="0" workbookViewId="0">
      <selection activeCell="K9" sqref="K9"/>
    </sheetView>
  </sheetViews>
  <sheetFormatPr baseColWidth="10" defaultRowHeight="12" x14ac:dyDescent="0"/>
  <cols>
    <col min="1" max="16384" width="10.83203125" style="931"/>
  </cols>
  <sheetData>
    <row r="3" spans="6:12" ht="31">
      <c r="H3" s="1516" t="s">
        <v>642</v>
      </c>
    </row>
    <row r="4" spans="6:12" ht="31">
      <c r="H4" s="1516" t="s">
        <v>1011</v>
      </c>
    </row>
    <row r="5" spans="6:12" ht="18" customHeight="1"/>
    <row r="6" spans="6:12" ht="18" customHeight="1">
      <c r="F6" s="1427" t="s">
        <v>649</v>
      </c>
      <c r="J6" s="1427" t="s">
        <v>650</v>
      </c>
      <c r="K6" s="1428"/>
      <c r="L6" s="1428"/>
    </row>
    <row r="7" spans="6:12" ht="18" customHeight="1">
      <c r="I7" s="1428"/>
      <c r="J7" s="1429" t="s">
        <v>646</v>
      </c>
      <c r="K7" s="1429" t="s">
        <v>647</v>
      </c>
      <c r="L7" s="1428"/>
    </row>
    <row r="8" spans="6:12" ht="18" customHeight="1">
      <c r="I8" s="1428"/>
      <c r="J8" s="1429" t="s">
        <v>645</v>
      </c>
      <c r="K8" s="1428" t="s">
        <v>648</v>
      </c>
      <c r="L8" s="1428"/>
    </row>
    <row r="9" spans="6:12" ht="18" customHeight="1">
      <c r="I9" s="1428"/>
      <c r="J9" s="1428" t="s">
        <v>644</v>
      </c>
      <c r="K9" s="1430" t="s">
        <v>643</v>
      </c>
      <c r="L9" s="1428"/>
    </row>
    <row r="10" spans="6:12" ht="18" customHeight="1"/>
    <row r="11" spans="6:12" ht="18" customHeight="1"/>
    <row r="12" spans="6:12" ht="18" customHeight="1"/>
    <row r="13" spans="6:12" ht="18" customHeight="1"/>
    <row r="14" spans="6:12" ht="18" customHeight="1"/>
    <row r="15" spans="6:12" ht="18" customHeight="1"/>
    <row r="16" spans="6:1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2.5" customHeight="1"/>
    <row r="46" ht="22.5" customHeight="1"/>
    <row r="47" ht="22.5" customHeight="1"/>
    <row r="48" ht="22.5" customHeight="1"/>
  </sheetData>
  <sheetProtection sheet="1" objects="1" scenarios="1" selectLockedCells="1"/>
  <hyperlinks>
    <hyperlink ref="K9" r:id="rId1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76" orientation="landscape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4209" r:id="rId4" name="Button 1">
              <controlPr defaultSize="0" autoFill="0" autoPict="0" macro="[0]!Anleitung">
                <anchor moveWithCells="1">
                  <from>
                    <xdr:col>1</xdr:col>
                    <xdr:colOff>241300</xdr:colOff>
                    <xdr:row>6</xdr:row>
                    <xdr:rowOff>88900</xdr:rowOff>
                  </from>
                  <to>
                    <xdr:col>3</xdr:col>
                    <xdr:colOff>419100</xdr:colOff>
                    <xdr:row>7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12" r:id="rId5" name="Button 4">
              <controlPr defaultSize="0" autoFill="0" autoPict="0" macro="[0]!Futterberechnung">
                <anchor moveWithCells="1">
                  <from>
                    <xdr:col>1</xdr:col>
                    <xdr:colOff>241300</xdr:colOff>
                    <xdr:row>8</xdr:row>
                    <xdr:rowOff>88900</xdr:rowOff>
                  </from>
                  <to>
                    <xdr:col>3</xdr:col>
                    <xdr:colOff>419100</xdr:colOff>
                    <xdr:row>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13" r:id="rId6" name="Button 5">
              <controlPr defaultSize="0" autoFill="0" autoPict="0" macro="[0]!FuMi_Liste">
                <anchor moveWithCells="1">
                  <from>
                    <xdr:col>1</xdr:col>
                    <xdr:colOff>241300</xdr:colOff>
                    <xdr:row>10</xdr:row>
                    <xdr:rowOff>88900</xdr:rowOff>
                  </from>
                  <to>
                    <xdr:col>3</xdr:col>
                    <xdr:colOff>419100</xdr:colOff>
                    <xdr:row>11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15" r:id="rId7" name="Button 7">
              <controlPr defaultSize="0" autoFill="0" autoPict="0" macro="[0]!Preiswürdigkeit">
                <anchor moveWithCells="1">
                  <from>
                    <xdr:col>1</xdr:col>
                    <xdr:colOff>241300</xdr:colOff>
                    <xdr:row>12</xdr:row>
                    <xdr:rowOff>88900</xdr:rowOff>
                  </from>
                  <to>
                    <xdr:col>3</xdr:col>
                    <xdr:colOff>419100</xdr:colOff>
                    <xdr:row>13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17" r:id="rId8" name="Button 9">
              <controlPr defaultSize="0" autoFill="0" autoPict="0" macro="[0]!Richtwerte">
                <anchor moveWithCells="1">
                  <from>
                    <xdr:col>1</xdr:col>
                    <xdr:colOff>228600</xdr:colOff>
                    <xdr:row>18</xdr:row>
                    <xdr:rowOff>25400</xdr:rowOff>
                  </from>
                  <to>
                    <xdr:col>3</xdr:col>
                    <xdr:colOff>406400</xdr:colOff>
                    <xdr:row>19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18" r:id="rId9" name="Button 10">
              <controlPr defaultSize="0" autoFill="0" autoPict="0" macro="[0]!Höchstgehalte">
                <anchor moveWithCells="1">
                  <from>
                    <xdr:col>1</xdr:col>
                    <xdr:colOff>228600</xdr:colOff>
                    <xdr:row>20</xdr:row>
                    <xdr:rowOff>0</xdr:rowOff>
                  </from>
                  <to>
                    <xdr:col>3</xdr:col>
                    <xdr:colOff>406400</xdr:colOff>
                    <xdr:row>21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19" r:id="rId10" name="Button 11">
              <controlPr defaultSize="0" autoFill="0" autoPict="0" macro="[0]!Vitamine_und_Spurenelemente">
                <anchor moveWithCells="1">
                  <from>
                    <xdr:col>1</xdr:col>
                    <xdr:colOff>215900</xdr:colOff>
                    <xdr:row>21</xdr:row>
                    <xdr:rowOff>215900</xdr:rowOff>
                  </from>
                  <to>
                    <xdr:col>3</xdr:col>
                    <xdr:colOff>393700</xdr:colOff>
                    <xdr:row>23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20" r:id="rId11" name="Button 12">
              <controlPr defaultSize="0" autoFill="0" autoPict="0" macro="[0]!ME_XP_Rechner_Mineralfutter">
                <anchor moveWithCells="1">
                  <from>
                    <xdr:col>1</xdr:col>
                    <xdr:colOff>215900</xdr:colOff>
                    <xdr:row>23</xdr:row>
                    <xdr:rowOff>177800</xdr:rowOff>
                  </from>
                  <to>
                    <xdr:col>3</xdr:col>
                    <xdr:colOff>406400</xdr:colOff>
                    <xdr:row>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22" r:id="rId12" name="Button 14">
              <controlPr defaultSize="0" autoFill="0" autoPict="0" macro="[0]!Futterkurve_Mast">
                <anchor moveWithCells="1">
                  <from>
                    <xdr:col>9</xdr:col>
                    <xdr:colOff>241300</xdr:colOff>
                    <xdr:row>11</xdr:row>
                    <xdr:rowOff>88900</xdr:rowOff>
                  </from>
                  <to>
                    <xdr:col>11</xdr:col>
                    <xdr:colOff>419100</xdr:colOff>
                    <xdr:row>12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23" r:id="rId13" name="Button 15">
              <controlPr defaultSize="0" autoFill="0" autoPict="0" macro="[0]!Futterkurve_Sauen">
                <anchor moveWithCells="1">
                  <from>
                    <xdr:col>9</xdr:col>
                    <xdr:colOff>241300</xdr:colOff>
                    <xdr:row>13</xdr:row>
                    <xdr:rowOff>88900</xdr:rowOff>
                  </from>
                  <to>
                    <xdr:col>11</xdr:col>
                    <xdr:colOff>419100</xdr:colOff>
                    <xdr:row>14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24" r:id="rId14" name="Button 16">
              <controlPr defaultSize="0" autoFill="0" autoPict="0" macro="[0]!Futterkurve_Ferkel">
                <anchor moveWithCells="1">
                  <from>
                    <xdr:col>9</xdr:col>
                    <xdr:colOff>241300</xdr:colOff>
                    <xdr:row>15</xdr:row>
                    <xdr:rowOff>88900</xdr:rowOff>
                  </from>
                  <to>
                    <xdr:col>11</xdr:col>
                    <xdr:colOff>419100</xdr:colOff>
                    <xdr:row>16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25" r:id="rId15" name="Button 17">
              <controlPr defaultSize="0" autoFill="0" autoPict="0" macro="[0]!Futterkurve_Jungsauen">
                <anchor moveWithCells="1">
                  <from>
                    <xdr:col>9</xdr:col>
                    <xdr:colOff>241300</xdr:colOff>
                    <xdr:row>17</xdr:row>
                    <xdr:rowOff>88900</xdr:rowOff>
                  </from>
                  <to>
                    <xdr:col>11</xdr:col>
                    <xdr:colOff>419100</xdr:colOff>
                    <xdr:row>18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26" r:id="rId16" name="Button 18">
              <controlPr defaultSize="0" autoFill="0" autoPict="0" macro="[0]!Futterkurve_ZuchtEber">
                <anchor moveWithCells="1">
                  <from>
                    <xdr:col>9</xdr:col>
                    <xdr:colOff>241300</xdr:colOff>
                    <xdr:row>19</xdr:row>
                    <xdr:rowOff>88900</xdr:rowOff>
                  </from>
                  <to>
                    <xdr:col>11</xdr:col>
                    <xdr:colOff>419100</xdr:colOff>
                    <xdr:row>20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4227" r:id="rId17" name="Button 19">
              <controlPr defaultSize="0" autoFill="0" autoPict="0" macro="[0]!Ausdruck">
                <anchor moveWithCells="1">
                  <from>
                    <xdr:col>5</xdr:col>
                    <xdr:colOff>241300</xdr:colOff>
                    <xdr:row>22</xdr:row>
                    <xdr:rowOff>12700</xdr:rowOff>
                  </from>
                  <to>
                    <xdr:col>7</xdr:col>
                    <xdr:colOff>419100</xdr:colOff>
                    <xdr:row>23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 enableFormatConditionsCalculation="0">
    <tabColor indexed="17"/>
    <pageSetUpPr fitToPage="1"/>
  </sheetPr>
  <dimension ref="A1:AA65"/>
  <sheetViews>
    <sheetView showGridLines="0" showRowColHeaders="0" zoomScale="138" zoomScaleNormal="138" zoomScalePageLayoutView="138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B9" sqref="B9"/>
    </sheetView>
  </sheetViews>
  <sheetFormatPr baseColWidth="10" defaultRowHeight="12" x14ac:dyDescent="0"/>
  <cols>
    <col min="1" max="1" width="2.1640625" style="461" customWidth="1"/>
    <col min="2" max="2" width="19.6640625" style="14" customWidth="1"/>
    <col min="3" max="4" width="5.6640625" style="366" customWidth="1"/>
    <col min="5" max="5" width="2.1640625" style="366" customWidth="1"/>
    <col min="6" max="7" width="5.6640625" style="366" customWidth="1"/>
    <col min="8" max="8" width="2.1640625" style="366" customWidth="1"/>
    <col min="9" max="10" width="5.6640625" style="366" customWidth="1"/>
    <col min="11" max="12" width="2.1640625" style="14" customWidth="1"/>
    <col min="13" max="13" width="18.6640625" style="14" customWidth="1"/>
    <col min="14" max="15" width="5.6640625" style="366" customWidth="1"/>
    <col min="16" max="16" width="2.1640625" style="366" customWidth="1"/>
    <col min="17" max="18" width="5.6640625" style="366" customWidth="1"/>
    <col min="19" max="19" width="2.1640625" style="366" customWidth="1"/>
    <col min="20" max="21" width="5.6640625" style="366" customWidth="1"/>
    <col min="22" max="22" width="2.1640625" style="14" customWidth="1"/>
    <col min="23" max="16384" width="10.83203125" style="14"/>
  </cols>
  <sheetData>
    <row r="1" spans="1:27" s="99" customFormat="1" ht="5.25" customHeight="1">
      <c r="A1" s="234"/>
    </row>
    <row r="2" spans="1:27" s="99" customFormat="1" ht="24" customHeight="1">
      <c r="A2" s="234"/>
    </row>
    <row r="3" spans="1:27" s="99" customFormat="1" ht="3.75" customHeight="1">
      <c r="A3" s="234"/>
      <c r="Y3" s="14"/>
      <c r="Z3" s="14"/>
      <c r="AA3" s="14"/>
    </row>
    <row r="4" spans="1:27" s="331" customFormat="1" ht="15">
      <c r="A4" s="1793" t="s">
        <v>160</v>
      </c>
      <c r="B4" s="1794"/>
      <c r="C4" s="1794"/>
      <c r="D4" s="1794"/>
      <c r="E4" s="1794"/>
      <c r="F4" s="1794"/>
      <c r="G4" s="1794"/>
      <c r="H4" s="1794"/>
      <c r="I4" s="1794"/>
      <c r="J4" s="1794"/>
      <c r="K4" s="1794"/>
      <c r="L4" s="1794"/>
      <c r="M4" s="1794"/>
      <c r="N4" s="1794"/>
      <c r="O4" s="1794"/>
      <c r="P4" s="1794"/>
      <c r="Q4" s="1794"/>
      <c r="R4" s="1794"/>
      <c r="S4" s="1794"/>
      <c r="T4" s="1794"/>
      <c r="U4" s="1794"/>
      <c r="V4" s="330"/>
    </row>
    <row r="5" spans="1:27" s="331" customFormat="1" ht="18" customHeight="1">
      <c r="A5" s="1793" t="s">
        <v>237</v>
      </c>
      <c r="B5" s="1794"/>
      <c r="C5" s="1794"/>
      <c r="D5" s="1794"/>
      <c r="E5" s="1794"/>
      <c r="F5" s="1794"/>
      <c r="G5" s="1794"/>
      <c r="H5" s="1794"/>
      <c r="I5" s="1794"/>
      <c r="J5" s="1794"/>
      <c r="K5" s="1794"/>
      <c r="L5" s="1794"/>
      <c r="M5" s="1794"/>
      <c r="N5" s="1794"/>
      <c r="O5" s="1794"/>
      <c r="P5" s="1794"/>
      <c r="Q5" s="1794"/>
      <c r="R5" s="1794"/>
      <c r="S5" s="1794"/>
      <c r="T5" s="1794"/>
      <c r="U5" s="1794"/>
      <c r="V5" s="1794"/>
    </row>
    <row r="6" spans="1:27" s="331" customFormat="1" ht="15">
      <c r="A6" s="1027"/>
      <c r="C6" s="332"/>
      <c r="D6" s="332"/>
      <c r="E6" s="332"/>
      <c r="F6" s="332"/>
      <c r="G6" s="332"/>
      <c r="H6" s="332"/>
      <c r="I6" s="332"/>
      <c r="J6" s="332"/>
      <c r="N6" s="332"/>
      <c r="O6" s="332"/>
      <c r="P6" s="332"/>
      <c r="Q6" s="332"/>
      <c r="R6" s="332"/>
      <c r="S6" s="332"/>
      <c r="T6" s="332"/>
      <c r="U6" s="332"/>
    </row>
    <row r="7" spans="1:27" s="331" customFormat="1" ht="15">
      <c r="A7" s="1027"/>
      <c r="C7" s="332"/>
      <c r="D7" s="332"/>
      <c r="E7" s="332"/>
      <c r="F7" s="332"/>
      <c r="G7" s="332"/>
      <c r="H7" s="332"/>
      <c r="I7" s="332"/>
      <c r="J7" s="332"/>
      <c r="N7" s="332"/>
      <c r="O7" s="332"/>
      <c r="P7" s="332"/>
      <c r="Q7" s="332"/>
      <c r="R7" s="332"/>
      <c r="S7" s="332"/>
      <c r="T7" s="332"/>
      <c r="U7" s="332"/>
    </row>
    <row r="8" spans="1:27" s="331" customFormat="1" ht="4.5" customHeight="1">
      <c r="A8" s="1027"/>
      <c r="B8" s="333"/>
      <c r="C8" s="335"/>
      <c r="D8" s="335"/>
      <c r="E8" s="335"/>
      <c r="F8" s="335"/>
      <c r="G8" s="335"/>
      <c r="H8" s="335"/>
      <c r="I8" s="335"/>
      <c r="J8" s="335"/>
      <c r="K8" s="336"/>
      <c r="L8" s="333"/>
      <c r="M8" s="334"/>
      <c r="N8" s="335"/>
      <c r="O8" s="335"/>
      <c r="P8" s="335"/>
      <c r="Q8" s="335"/>
      <c r="R8" s="335"/>
      <c r="S8" s="335"/>
      <c r="T8" s="335"/>
      <c r="U8" s="335"/>
      <c r="V8" s="337"/>
    </row>
    <row r="9" spans="1:27" s="344" customFormat="1" ht="13">
      <c r="A9" s="353"/>
      <c r="B9" s="1028" t="s">
        <v>23</v>
      </c>
      <c r="C9" s="1790" t="s">
        <v>161</v>
      </c>
      <c r="D9" s="1787"/>
      <c r="E9" s="1787"/>
      <c r="F9" s="1790" t="s">
        <v>162</v>
      </c>
      <c r="G9" s="1787"/>
      <c r="H9" s="341"/>
      <c r="I9" s="1790" t="s">
        <v>163</v>
      </c>
      <c r="J9" s="1787"/>
      <c r="K9" s="342"/>
      <c r="L9" s="338"/>
      <c r="M9" s="339" t="s">
        <v>23</v>
      </c>
      <c r="N9" s="1790" t="s">
        <v>161</v>
      </c>
      <c r="O9" s="1787"/>
      <c r="P9" s="1787"/>
      <c r="Q9" s="1790" t="s">
        <v>162</v>
      </c>
      <c r="R9" s="1787"/>
      <c r="S9" s="341"/>
      <c r="T9" s="1790" t="s">
        <v>163</v>
      </c>
      <c r="U9" s="1787"/>
      <c r="V9" s="343"/>
    </row>
    <row r="10" spans="1:27" s="344" customFormat="1" ht="13">
      <c r="A10" s="353"/>
      <c r="B10" s="1028"/>
      <c r="C10" s="345" t="s">
        <v>268</v>
      </c>
      <c r="D10" s="1795" t="s">
        <v>269</v>
      </c>
      <c r="E10" s="1795"/>
      <c r="F10" s="340" t="s">
        <v>264</v>
      </c>
      <c r="G10" s="340" t="s">
        <v>265</v>
      </c>
      <c r="H10" s="340"/>
      <c r="I10" s="340" t="s">
        <v>267</v>
      </c>
      <c r="J10" s="340" t="s">
        <v>266</v>
      </c>
      <c r="K10" s="346"/>
      <c r="L10" s="338"/>
      <c r="M10" s="339"/>
      <c r="N10" s="345" t="s">
        <v>268</v>
      </c>
      <c r="O10" s="1795" t="s">
        <v>269</v>
      </c>
      <c r="P10" s="1795"/>
      <c r="Q10" s="340" t="s">
        <v>264</v>
      </c>
      <c r="R10" s="340" t="s">
        <v>265</v>
      </c>
      <c r="S10" s="340"/>
      <c r="T10" s="340" t="s">
        <v>267</v>
      </c>
      <c r="U10" s="340" t="s">
        <v>266</v>
      </c>
      <c r="V10" s="347"/>
    </row>
    <row r="11" spans="1:27" s="331" customFormat="1" ht="4.5" customHeight="1">
      <c r="A11" s="1027"/>
      <c r="B11" s="348"/>
      <c r="C11" s="350"/>
      <c r="D11" s="350"/>
      <c r="E11" s="350"/>
      <c r="F11" s="350"/>
      <c r="G11" s="350"/>
      <c r="H11" s="350"/>
      <c r="I11" s="350"/>
      <c r="J11" s="350"/>
      <c r="K11" s="351"/>
      <c r="L11" s="348"/>
      <c r="M11" s="349"/>
      <c r="N11" s="350"/>
      <c r="O11" s="350"/>
      <c r="P11" s="350"/>
      <c r="Q11" s="350"/>
      <c r="R11" s="350"/>
      <c r="S11" s="350"/>
      <c r="T11" s="350"/>
      <c r="U11" s="350"/>
      <c r="V11" s="352"/>
    </row>
    <row r="12" spans="1:27" s="344" customFormat="1" ht="9.75" customHeight="1">
      <c r="A12" s="353"/>
      <c r="B12" s="338"/>
      <c r="C12" s="354"/>
      <c r="D12" s="354"/>
      <c r="E12" s="354"/>
      <c r="F12" s="354"/>
      <c r="G12" s="354"/>
      <c r="H12" s="354"/>
      <c r="I12" s="354"/>
      <c r="J12" s="354"/>
      <c r="K12" s="355"/>
      <c r="L12" s="353"/>
      <c r="M12" s="353"/>
      <c r="N12" s="354"/>
      <c r="O12" s="354"/>
      <c r="P12" s="354"/>
      <c r="Q12" s="354"/>
      <c r="R12" s="354"/>
      <c r="S12" s="354"/>
      <c r="T12" s="354"/>
      <c r="U12" s="354"/>
      <c r="V12" s="356"/>
    </row>
    <row r="13" spans="1:27" s="344" customFormat="1" ht="13">
      <c r="A13" s="353"/>
      <c r="B13" s="1029" t="s">
        <v>164</v>
      </c>
      <c r="C13" s="354"/>
      <c r="D13" s="354"/>
      <c r="E13" s="354"/>
      <c r="F13" s="354"/>
      <c r="G13" s="354"/>
      <c r="H13" s="354"/>
      <c r="I13" s="354"/>
      <c r="J13" s="354"/>
      <c r="K13" s="355"/>
      <c r="L13" s="353"/>
      <c r="M13" s="357" t="s">
        <v>165</v>
      </c>
      <c r="N13" s="358"/>
      <c r="O13" s="354"/>
      <c r="P13" s="354"/>
      <c r="Q13" s="354"/>
      <c r="R13" s="354"/>
      <c r="S13" s="354"/>
      <c r="T13" s="354"/>
      <c r="U13" s="354"/>
      <c r="V13" s="356"/>
    </row>
    <row r="14" spans="1:27" s="344" customFormat="1" ht="9.75" customHeight="1">
      <c r="A14" s="353"/>
      <c r="B14" s="338"/>
      <c r="C14" s="354"/>
      <c r="D14" s="354"/>
      <c r="E14" s="354"/>
      <c r="F14" s="354"/>
      <c r="G14" s="354"/>
      <c r="H14" s="354"/>
      <c r="I14" s="354"/>
      <c r="J14" s="354"/>
      <c r="K14" s="355"/>
      <c r="L14" s="353"/>
      <c r="M14" s="353"/>
      <c r="N14" s="354"/>
      <c r="O14" s="354"/>
      <c r="P14" s="354"/>
      <c r="Q14" s="354"/>
      <c r="R14" s="354"/>
      <c r="S14" s="354"/>
      <c r="T14" s="354"/>
      <c r="U14" s="354"/>
      <c r="V14" s="356"/>
    </row>
    <row r="15" spans="1:27" s="365" customFormat="1" ht="14.75" customHeight="1">
      <c r="A15" s="360"/>
      <c r="B15" s="359" t="s">
        <v>166</v>
      </c>
      <c r="C15" s="361" t="s">
        <v>28</v>
      </c>
      <c r="D15" s="361" t="s">
        <v>159</v>
      </c>
      <c r="E15" s="361"/>
      <c r="F15" s="361" t="s">
        <v>146</v>
      </c>
      <c r="G15" s="361" t="s">
        <v>146</v>
      </c>
      <c r="H15" s="361"/>
      <c r="I15" s="361" t="s">
        <v>146</v>
      </c>
      <c r="J15" s="361" t="s">
        <v>177</v>
      </c>
      <c r="K15" s="362"/>
      <c r="L15" s="360"/>
      <c r="M15" s="360" t="s">
        <v>169</v>
      </c>
      <c r="N15" s="363">
        <v>10</v>
      </c>
      <c r="O15" s="363">
        <v>10</v>
      </c>
      <c r="P15" s="363"/>
      <c r="Q15" s="363">
        <v>20</v>
      </c>
      <c r="R15" s="363">
        <v>50</v>
      </c>
      <c r="S15" s="363"/>
      <c r="T15" s="363">
        <v>50</v>
      </c>
      <c r="U15" s="363">
        <v>50</v>
      </c>
      <c r="V15" s="364"/>
    </row>
    <row r="16" spans="1:27" s="365" customFormat="1" ht="14.75" customHeight="1">
      <c r="A16" s="360"/>
      <c r="B16" s="359" t="s">
        <v>170</v>
      </c>
      <c r="C16" s="361">
        <v>10</v>
      </c>
      <c r="D16" s="361">
        <v>10</v>
      </c>
      <c r="E16" s="361"/>
      <c r="F16" s="361">
        <v>20</v>
      </c>
      <c r="G16" s="361">
        <v>30</v>
      </c>
      <c r="H16" s="361"/>
      <c r="I16" s="361">
        <v>50</v>
      </c>
      <c r="J16" s="361">
        <v>50</v>
      </c>
      <c r="K16" s="362"/>
      <c r="L16" s="360"/>
      <c r="M16" s="1246" t="s">
        <v>175</v>
      </c>
      <c r="N16" s="363">
        <v>30</v>
      </c>
      <c r="O16" s="363">
        <v>30</v>
      </c>
      <c r="P16" s="363"/>
      <c r="Q16" s="363">
        <v>20</v>
      </c>
      <c r="R16" s="363">
        <v>50</v>
      </c>
      <c r="S16" s="363"/>
      <c r="T16" s="363">
        <v>50</v>
      </c>
      <c r="U16" s="363">
        <v>50</v>
      </c>
      <c r="V16" s="364"/>
    </row>
    <row r="17" spans="1:22" s="365" customFormat="1" ht="14.75" customHeight="1">
      <c r="A17" s="360"/>
      <c r="B17" s="359" t="s">
        <v>172</v>
      </c>
      <c r="C17" s="992" t="s">
        <v>872</v>
      </c>
      <c r="D17" s="992" t="s">
        <v>872</v>
      </c>
      <c r="E17" s="361"/>
      <c r="F17" s="992" t="s">
        <v>57</v>
      </c>
      <c r="G17" s="992" t="s">
        <v>57</v>
      </c>
      <c r="H17" s="361"/>
      <c r="I17" s="992" t="s">
        <v>176</v>
      </c>
      <c r="J17" s="992" t="s">
        <v>197</v>
      </c>
      <c r="K17" s="362"/>
      <c r="L17" s="360"/>
      <c r="M17" s="1246" t="s">
        <v>762</v>
      </c>
      <c r="N17" s="363">
        <v>5</v>
      </c>
      <c r="O17" s="363">
        <v>5</v>
      </c>
      <c r="P17" s="363"/>
      <c r="Q17" s="363">
        <v>30</v>
      </c>
      <c r="R17" s="363">
        <v>15</v>
      </c>
      <c r="S17" s="363"/>
      <c r="T17" s="363">
        <v>30</v>
      </c>
      <c r="U17" s="363">
        <v>30</v>
      </c>
      <c r="V17" s="364"/>
    </row>
    <row r="18" spans="1:22" s="365" customFormat="1" ht="14.75" customHeight="1">
      <c r="A18" s="360"/>
      <c r="B18" s="359" t="s">
        <v>174</v>
      </c>
      <c r="C18" s="361">
        <v>5</v>
      </c>
      <c r="D18" s="361">
        <v>5</v>
      </c>
      <c r="E18" s="361"/>
      <c r="F18" s="361">
        <v>40</v>
      </c>
      <c r="G18" s="361">
        <v>10</v>
      </c>
      <c r="H18" s="361"/>
      <c r="I18" s="361">
        <v>10</v>
      </c>
      <c r="J18" s="361">
        <v>10</v>
      </c>
      <c r="K18" s="362"/>
      <c r="L18" s="360"/>
      <c r="M18" s="1246" t="s">
        <v>752</v>
      </c>
      <c r="N18" s="363">
        <v>5</v>
      </c>
      <c r="O18" s="363">
        <v>5</v>
      </c>
      <c r="P18" s="363"/>
      <c r="Q18" s="363">
        <v>30</v>
      </c>
      <c r="R18" s="363">
        <v>10</v>
      </c>
      <c r="S18" s="363"/>
      <c r="T18" s="363">
        <v>20</v>
      </c>
      <c r="U18" s="363">
        <v>20</v>
      </c>
      <c r="V18" s="364"/>
    </row>
    <row r="19" spans="1:22" s="365" customFormat="1" ht="14.75" customHeight="1">
      <c r="A19" s="360"/>
      <c r="B19" s="359" t="s">
        <v>411</v>
      </c>
      <c r="C19" s="361" t="s">
        <v>57</v>
      </c>
      <c r="D19" s="361" t="s">
        <v>42</v>
      </c>
      <c r="E19" s="361"/>
      <c r="F19" s="361" t="s">
        <v>177</v>
      </c>
      <c r="G19" s="361" t="s">
        <v>177</v>
      </c>
      <c r="H19" s="361"/>
      <c r="I19" s="361" t="s">
        <v>412</v>
      </c>
      <c r="J19" s="361" t="s">
        <v>412</v>
      </c>
      <c r="K19" s="362"/>
      <c r="L19" s="360"/>
      <c r="M19" s="360" t="s">
        <v>171</v>
      </c>
      <c r="N19" s="363" t="s">
        <v>28</v>
      </c>
      <c r="O19" s="363" t="s">
        <v>28</v>
      </c>
      <c r="P19" s="363"/>
      <c r="Q19" s="363">
        <v>20</v>
      </c>
      <c r="R19" s="363">
        <v>30</v>
      </c>
      <c r="S19" s="363"/>
      <c r="T19" s="363">
        <v>40</v>
      </c>
      <c r="U19" s="363">
        <v>40</v>
      </c>
      <c r="V19" s="364"/>
    </row>
    <row r="20" spans="1:22" s="365" customFormat="1" ht="14.75" customHeight="1">
      <c r="A20" s="360"/>
      <c r="B20" s="359" t="s">
        <v>60</v>
      </c>
      <c r="C20" s="361" t="s">
        <v>159</v>
      </c>
      <c r="D20" s="361" t="s">
        <v>47</v>
      </c>
      <c r="E20" s="361"/>
      <c r="F20" s="361" t="s">
        <v>159</v>
      </c>
      <c r="G20" s="361" t="s">
        <v>57</v>
      </c>
      <c r="H20" s="361"/>
      <c r="I20" s="361" t="s">
        <v>176</v>
      </c>
      <c r="J20" s="361" t="s">
        <v>176</v>
      </c>
      <c r="K20" s="362"/>
      <c r="L20" s="360"/>
      <c r="M20" s="360" t="s">
        <v>173</v>
      </c>
      <c r="N20" s="363" t="s">
        <v>28</v>
      </c>
      <c r="O20" s="363" t="s">
        <v>28</v>
      </c>
      <c r="P20" s="363"/>
      <c r="Q20" s="363">
        <v>20</v>
      </c>
      <c r="R20" s="363">
        <v>20</v>
      </c>
      <c r="S20" s="363"/>
      <c r="T20" s="363">
        <v>15</v>
      </c>
      <c r="U20" s="363">
        <v>15</v>
      </c>
      <c r="V20" s="364"/>
    </row>
    <row r="21" spans="1:22" s="365" customFormat="1" ht="14.75" customHeight="1">
      <c r="A21" s="360"/>
      <c r="B21" s="359" t="s">
        <v>179</v>
      </c>
      <c r="C21" s="361">
        <v>5</v>
      </c>
      <c r="D21" s="361">
        <v>5</v>
      </c>
      <c r="E21" s="361"/>
      <c r="F21" s="361">
        <v>5</v>
      </c>
      <c r="G21" s="361">
        <v>10</v>
      </c>
      <c r="H21" s="361"/>
      <c r="I21" s="361">
        <v>20</v>
      </c>
      <c r="J21" s="361">
        <v>20</v>
      </c>
      <c r="K21" s="362"/>
      <c r="L21" s="360"/>
      <c r="M21" s="1246" t="s">
        <v>753</v>
      </c>
      <c r="N21" s="363" t="s">
        <v>28</v>
      </c>
      <c r="O21" s="363" t="s">
        <v>28</v>
      </c>
      <c r="P21" s="363"/>
      <c r="Q21" s="363">
        <v>20</v>
      </c>
      <c r="R21" s="363">
        <v>10</v>
      </c>
      <c r="S21" s="363"/>
      <c r="T21" s="363">
        <v>25</v>
      </c>
      <c r="U21" s="363">
        <v>25</v>
      </c>
      <c r="V21" s="364"/>
    </row>
    <row r="22" spans="1:22" s="365" customFormat="1" ht="14.75" customHeight="1">
      <c r="A22" s="360"/>
      <c r="B22" s="359" t="s">
        <v>25</v>
      </c>
      <c r="C22" s="361" t="s">
        <v>177</v>
      </c>
      <c r="D22" s="361" t="s">
        <v>177</v>
      </c>
      <c r="E22" s="361"/>
      <c r="F22" s="992" t="s">
        <v>181</v>
      </c>
      <c r="G22" s="992" t="s">
        <v>181</v>
      </c>
      <c r="H22" s="361"/>
      <c r="I22" s="992" t="s">
        <v>181</v>
      </c>
      <c r="J22" s="992" t="s">
        <v>181</v>
      </c>
      <c r="K22" s="362"/>
      <c r="L22" s="360"/>
      <c r="M22" s="1246" t="s">
        <v>754</v>
      </c>
      <c r="N22" s="363" t="s">
        <v>28</v>
      </c>
      <c r="O22" s="363" t="s">
        <v>28</v>
      </c>
      <c r="P22" s="363"/>
      <c r="Q22" s="363">
        <v>20</v>
      </c>
      <c r="R22" s="363">
        <v>10</v>
      </c>
      <c r="S22" s="363"/>
      <c r="T22" s="363">
        <v>15</v>
      </c>
      <c r="U22" s="363">
        <v>15</v>
      </c>
      <c r="V22" s="364"/>
    </row>
    <row r="23" spans="1:22" s="365" customFormat="1" ht="14.75" customHeight="1">
      <c r="A23" s="360"/>
      <c r="B23" s="359" t="s">
        <v>333</v>
      </c>
      <c r="C23" s="361" t="s">
        <v>159</v>
      </c>
      <c r="D23" s="361" t="s">
        <v>159</v>
      </c>
      <c r="E23" s="361"/>
      <c r="F23" s="361" t="s">
        <v>159</v>
      </c>
      <c r="G23" s="361" t="s">
        <v>159</v>
      </c>
      <c r="H23" s="361"/>
      <c r="I23" s="361" t="s">
        <v>159</v>
      </c>
      <c r="J23" s="361" t="s">
        <v>159</v>
      </c>
      <c r="K23" s="362"/>
      <c r="L23" s="360"/>
      <c r="M23" s="1246" t="s">
        <v>763</v>
      </c>
      <c r="N23" s="363" t="s">
        <v>28</v>
      </c>
      <c r="O23" s="363" t="s">
        <v>28</v>
      </c>
      <c r="P23" s="363"/>
      <c r="Q23" s="363">
        <v>10</v>
      </c>
      <c r="R23" s="363">
        <v>5</v>
      </c>
      <c r="S23" s="363"/>
      <c r="T23" s="363">
        <v>10</v>
      </c>
      <c r="U23" s="363">
        <v>10</v>
      </c>
      <c r="V23" s="364"/>
    </row>
    <row r="24" spans="1:22" s="365" customFormat="1" ht="14.75" customHeight="1">
      <c r="A24" s="360"/>
      <c r="B24" s="359" t="s">
        <v>183</v>
      </c>
      <c r="C24" s="361">
        <v>4</v>
      </c>
      <c r="D24" s="361">
        <v>4</v>
      </c>
      <c r="E24" s="361"/>
      <c r="F24" s="361">
        <v>25</v>
      </c>
      <c r="G24" s="361">
        <v>5</v>
      </c>
      <c r="H24" s="361"/>
      <c r="I24" s="361">
        <v>5</v>
      </c>
      <c r="J24" s="361">
        <v>5</v>
      </c>
      <c r="K24" s="362"/>
      <c r="L24" s="360"/>
      <c r="M24" s="1246" t="s">
        <v>756</v>
      </c>
      <c r="N24" s="363">
        <v>5</v>
      </c>
      <c r="O24" s="363">
        <v>5</v>
      </c>
      <c r="P24" s="363"/>
      <c r="Q24" s="363">
        <v>10</v>
      </c>
      <c r="R24" s="363">
        <v>5</v>
      </c>
      <c r="S24" s="363"/>
      <c r="T24" s="363">
        <v>15</v>
      </c>
      <c r="U24" s="363">
        <v>15</v>
      </c>
      <c r="V24" s="364"/>
    </row>
    <row r="25" spans="1:22" s="365" customFormat="1" ht="14.75" customHeight="1">
      <c r="A25" s="360"/>
      <c r="B25" s="359" t="s">
        <v>184</v>
      </c>
      <c r="C25" s="361" t="s">
        <v>176</v>
      </c>
      <c r="D25" s="361" t="s">
        <v>176</v>
      </c>
      <c r="E25" s="361"/>
      <c r="F25" s="361" t="s">
        <v>181</v>
      </c>
      <c r="G25" s="361">
        <v>10</v>
      </c>
      <c r="H25" s="361"/>
      <c r="I25" s="361" t="s">
        <v>57</v>
      </c>
      <c r="J25" s="361" t="s">
        <v>57</v>
      </c>
      <c r="K25" s="362"/>
      <c r="L25" s="360"/>
      <c r="M25" s="1246" t="s">
        <v>757</v>
      </c>
      <c r="N25" s="363">
        <v>5</v>
      </c>
      <c r="O25" s="363">
        <v>5</v>
      </c>
      <c r="P25" s="363"/>
      <c r="Q25" s="363">
        <v>15</v>
      </c>
      <c r="R25" s="363">
        <v>15</v>
      </c>
      <c r="S25" s="363"/>
      <c r="T25" s="363">
        <v>15</v>
      </c>
      <c r="U25" s="363">
        <v>15</v>
      </c>
      <c r="V25" s="364"/>
    </row>
    <row r="26" spans="1:22" s="365" customFormat="1" ht="14.75" customHeight="1">
      <c r="A26" s="360"/>
      <c r="B26" s="359" t="s">
        <v>557</v>
      </c>
      <c r="C26" s="361" t="s">
        <v>559</v>
      </c>
      <c r="D26" s="361" t="s">
        <v>57</v>
      </c>
      <c r="E26" s="361"/>
      <c r="F26" s="361" t="s">
        <v>129</v>
      </c>
      <c r="G26" s="361" t="s">
        <v>146</v>
      </c>
      <c r="H26" s="361"/>
      <c r="I26" s="361" t="s">
        <v>177</v>
      </c>
      <c r="J26" s="361" t="s">
        <v>42</v>
      </c>
      <c r="K26" s="362"/>
      <c r="L26" s="360"/>
      <c r="M26" s="360" t="s">
        <v>178</v>
      </c>
      <c r="N26" s="363">
        <v>5</v>
      </c>
      <c r="O26" s="363">
        <v>5</v>
      </c>
      <c r="P26" s="363"/>
      <c r="Q26" s="363">
        <v>10</v>
      </c>
      <c r="R26" s="363">
        <v>5</v>
      </c>
      <c r="S26" s="363"/>
      <c r="T26" s="363">
        <v>10</v>
      </c>
      <c r="U26" s="363">
        <v>10</v>
      </c>
      <c r="V26" s="364"/>
    </row>
    <row r="27" spans="1:22" s="365" customFormat="1" ht="14.75" customHeight="1">
      <c r="A27" s="360"/>
      <c r="B27" s="359" t="s">
        <v>61</v>
      </c>
      <c r="C27" s="361">
        <v>10</v>
      </c>
      <c r="D27" s="361">
        <v>10</v>
      </c>
      <c r="E27" s="361"/>
      <c r="F27" s="361">
        <v>3</v>
      </c>
      <c r="G27" s="361">
        <v>10</v>
      </c>
      <c r="H27" s="361"/>
      <c r="I27" s="361">
        <v>10</v>
      </c>
      <c r="J27" s="361">
        <v>10</v>
      </c>
      <c r="K27" s="362"/>
      <c r="L27" s="360"/>
      <c r="M27" s="1246" t="s">
        <v>758</v>
      </c>
      <c r="N27" s="363">
        <v>20</v>
      </c>
      <c r="O27" s="363">
        <v>20</v>
      </c>
      <c r="P27" s="363"/>
      <c r="Q27" s="363">
        <v>20</v>
      </c>
      <c r="R27" s="363">
        <v>30</v>
      </c>
      <c r="S27" s="363"/>
      <c r="T27" s="363">
        <v>20</v>
      </c>
      <c r="U27" s="363">
        <v>20</v>
      </c>
      <c r="V27" s="364"/>
    </row>
    <row r="28" spans="1:22" s="365" customFormat="1" ht="14.75" customHeight="1">
      <c r="A28" s="360"/>
      <c r="B28" s="359" t="s">
        <v>185</v>
      </c>
      <c r="C28" s="361" t="s">
        <v>49</v>
      </c>
      <c r="D28" s="361">
        <v>5</v>
      </c>
      <c r="E28" s="361"/>
      <c r="F28" s="361">
        <v>10</v>
      </c>
      <c r="G28" s="361">
        <v>10</v>
      </c>
      <c r="H28" s="361"/>
      <c r="I28" s="361">
        <v>5</v>
      </c>
      <c r="J28" s="361">
        <v>5</v>
      </c>
      <c r="K28" s="362"/>
      <c r="L28" s="360"/>
      <c r="M28" s="1246" t="s">
        <v>764</v>
      </c>
      <c r="N28" s="363">
        <v>10</v>
      </c>
      <c r="O28" s="363">
        <v>10</v>
      </c>
      <c r="P28" s="363"/>
      <c r="Q28" s="363">
        <v>50</v>
      </c>
      <c r="R28" s="363">
        <v>30</v>
      </c>
      <c r="S28" s="363"/>
      <c r="T28" s="363">
        <v>20</v>
      </c>
      <c r="U28" s="363">
        <v>20</v>
      </c>
      <c r="V28" s="364"/>
    </row>
    <row r="29" spans="1:22" s="365" customFormat="1" ht="14.75" customHeight="1">
      <c r="A29" s="360"/>
      <c r="B29" s="359" t="s">
        <v>186</v>
      </c>
      <c r="C29" s="361" t="s">
        <v>49</v>
      </c>
      <c r="D29" s="361">
        <v>5</v>
      </c>
      <c r="E29" s="361"/>
      <c r="F29" s="361">
        <v>10</v>
      </c>
      <c r="G29" s="361">
        <v>10</v>
      </c>
      <c r="H29" s="361"/>
      <c r="I29" s="361">
        <v>3</v>
      </c>
      <c r="J29" s="361">
        <v>3</v>
      </c>
      <c r="K29" s="362"/>
      <c r="L29" s="360"/>
      <c r="M29" s="1246" t="s">
        <v>765</v>
      </c>
      <c r="N29" s="363">
        <v>10</v>
      </c>
      <c r="O29" s="363">
        <v>10</v>
      </c>
      <c r="P29" s="363"/>
      <c r="Q29" s="363">
        <v>50</v>
      </c>
      <c r="R29" s="363">
        <v>30</v>
      </c>
      <c r="S29" s="363"/>
      <c r="T29" s="363">
        <v>30</v>
      </c>
      <c r="U29" s="363">
        <v>30</v>
      </c>
      <c r="V29" s="364"/>
    </row>
    <row r="30" spans="1:22" s="365" customFormat="1" ht="14.75" customHeight="1">
      <c r="A30" s="360"/>
      <c r="B30" s="359" t="s">
        <v>187</v>
      </c>
      <c r="C30" s="361">
        <v>5</v>
      </c>
      <c r="D30" s="361">
        <v>5</v>
      </c>
      <c r="E30" s="361"/>
      <c r="F30" s="361">
        <v>10</v>
      </c>
      <c r="G30" s="361">
        <v>10</v>
      </c>
      <c r="H30" s="361"/>
      <c r="I30" s="361">
        <v>10</v>
      </c>
      <c r="J30" s="361">
        <v>10</v>
      </c>
      <c r="K30" s="362"/>
      <c r="L30" s="360"/>
      <c r="M30" s="1246" t="s">
        <v>755</v>
      </c>
      <c r="N30" s="363">
        <v>5</v>
      </c>
      <c r="O30" s="363">
        <v>5</v>
      </c>
      <c r="P30" s="363"/>
      <c r="Q30" s="363">
        <v>50</v>
      </c>
      <c r="R30" s="363">
        <v>30</v>
      </c>
      <c r="S30" s="363"/>
      <c r="T30" s="363">
        <v>20</v>
      </c>
      <c r="U30" s="363">
        <v>20</v>
      </c>
      <c r="V30" s="364"/>
    </row>
    <row r="31" spans="1:22" s="365" customFormat="1" ht="14.75" customHeight="1">
      <c r="A31" s="360"/>
      <c r="B31" s="359" t="s">
        <v>188</v>
      </c>
      <c r="C31" s="361">
        <v>4</v>
      </c>
      <c r="D31" s="361">
        <v>4</v>
      </c>
      <c r="E31" s="361"/>
      <c r="F31" s="992" t="s">
        <v>197</v>
      </c>
      <c r="G31" s="992" t="s">
        <v>869</v>
      </c>
      <c r="H31" s="361"/>
      <c r="I31" s="992" t="s">
        <v>869</v>
      </c>
      <c r="J31" s="992" t="s">
        <v>869</v>
      </c>
      <c r="K31" s="362"/>
      <c r="L31" s="360"/>
      <c r="M31" s="948" t="s">
        <v>759</v>
      </c>
      <c r="N31" s="373">
        <v>20</v>
      </c>
      <c r="O31" s="373">
        <v>20</v>
      </c>
      <c r="P31" s="373"/>
      <c r="Q31" s="373">
        <v>20</v>
      </c>
      <c r="R31" s="373">
        <v>25</v>
      </c>
      <c r="S31" s="373"/>
      <c r="T31" s="373">
        <v>25</v>
      </c>
      <c r="U31" s="373">
        <v>25</v>
      </c>
      <c r="V31" s="1247"/>
    </row>
    <row r="32" spans="1:22" s="365" customFormat="1" ht="14.75" customHeight="1">
      <c r="A32" s="360"/>
      <c r="B32" s="359" t="s">
        <v>189</v>
      </c>
      <c r="C32" s="361">
        <v>4</v>
      </c>
      <c r="D32" s="361">
        <v>4</v>
      </c>
      <c r="E32" s="361"/>
      <c r="F32" s="361">
        <v>10</v>
      </c>
      <c r="G32" s="361">
        <v>5</v>
      </c>
      <c r="H32" s="361"/>
      <c r="I32" s="361">
        <v>10</v>
      </c>
      <c r="J32" s="361" t="s">
        <v>159</v>
      </c>
      <c r="K32" s="362"/>
      <c r="L32" s="360"/>
      <c r="M32" s="360" t="s">
        <v>180</v>
      </c>
      <c r="N32" s="363" t="s">
        <v>28</v>
      </c>
      <c r="O32" s="363" t="s">
        <v>28</v>
      </c>
      <c r="P32" s="363"/>
      <c r="Q32" s="363">
        <v>20</v>
      </c>
      <c r="R32" s="363">
        <v>10</v>
      </c>
      <c r="S32" s="363"/>
      <c r="T32" s="363">
        <v>20</v>
      </c>
      <c r="U32" s="363">
        <v>20</v>
      </c>
      <c r="V32" s="364"/>
    </row>
    <row r="33" spans="1:22" s="365" customFormat="1" ht="14.75" customHeight="1">
      <c r="A33" s="360"/>
      <c r="B33" s="359" t="s">
        <v>190</v>
      </c>
      <c r="C33" s="361" t="s">
        <v>148</v>
      </c>
      <c r="D33" s="361" t="s">
        <v>148</v>
      </c>
      <c r="E33" s="361"/>
      <c r="F33" s="361">
        <v>20</v>
      </c>
      <c r="G33" s="361" t="s">
        <v>134</v>
      </c>
      <c r="H33" s="361"/>
      <c r="I33" s="361" t="s">
        <v>111</v>
      </c>
      <c r="J33" s="361" t="s">
        <v>270</v>
      </c>
      <c r="K33" s="362"/>
      <c r="L33" s="360"/>
      <c r="M33" s="360" t="s">
        <v>182</v>
      </c>
      <c r="N33" s="363" t="s">
        <v>28</v>
      </c>
      <c r="O33" s="363" t="s">
        <v>28</v>
      </c>
      <c r="P33" s="363"/>
      <c r="Q33" s="363">
        <v>20</v>
      </c>
      <c r="R33" s="363">
        <v>30</v>
      </c>
      <c r="S33" s="363"/>
      <c r="T33" s="363">
        <v>30</v>
      </c>
      <c r="U33" s="363">
        <v>30</v>
      </c>
      <c r="V33" s="364"/>
    </row>
    <row r="34" spans="1:22" s="365" customFormat="1" ht="14.75" customHeight="1">
      <c r="A34" s="360"/>
      <c r="B34" s="359" t="s">
        <v>62</v>
      </c>
      <c r="C34" s="361">
        <v>2</v>
      </c>
      <c r="D34" s="361">
        <v>2</v>
      </c>
      <c r="E34" s="361"/>
      <c r="F34" s="992" t="s">
        <v>197</v>
      </c>
      <c r="G34" s="992" t="s">
        <v>872</v>
      </c>
      <c r="H34" s="361"/>
      <c r="I34" s="992" t="s">
        <v>872</v>
      </c>
      <c r="J34" s="992" t="s">
        <v>872</v>
      </c>
      <c r="K34" s="362"/>
      <c r="L34" s="360"/>
      <c r="M34" s="360"/>
      <c r="N34" s="363"/>
      <c r="O34" s="363"/>
      <c r="P34" s="363"/>
      <c r="Q34" s="363"/>
      <c r="R34" s="363"/>
      <c r="S34" s="363"/>
      <c r="T34" s="363"/>
      <c r="U34" s="363"/>
      <c r="V34" s="364"/>
    </row>
    <row r="35" spans="1:22" s="365" customFormat="1" ht="14.75" customHeight="1">
      <c r="A35" s="360"/>
      <c r="B35" s="359" t="s">
        <v>76</v>
      </c>
      <c r="C35" s="361">
        <v>5</v>
      </c>
      <c r="D35" s="361">
        <v>5</v>
      </c>
      <c r="E35" s="361"/>
      <c r="F35" s="361">
        <v>20</v>
      </c>
      <c r="G35" s="361">
        <v>5</v>
      </c>
      <c r="H35" s="361"/>
      <c r="I35" s="361">
        <v>10</v>
      </c>
      <c r="J35" s="361">
        <v>10</v>
      </c>
      <c r="K35" s="362"/>
      <c r="L35" s="360"/>
      <c r="M35" s="360"/>
      <c r="N35" s="363"/>
      <c r="O35" s="363"/>
      <c r="P35" s="363"/>
      <c r="Q35" s="363"/>
      <c r="R35" s="363"/>
      <c r="S35" s="363"/>
      <c r="T35" s="363"/>
      <c r="U35" s="363"/>
      <c r="V35" s="364"/>
    </row>
    <row r="36" spans="1:22" s="365" customFormat="1" ht="14.75" customHeight="1">
      <c r="A36" s="360"/>
      <c r="B36" s="359" t="s">
        <v>194</v>
      </c>
      <c r="C36" s="361" t="s">
        <v>129</v>
      </c>
      <c r="D36" s="361" t="s">
        <v>129</v>
      </c>
      <c r="E36" s="361"/>
      <c r="F36" s="361">
        <v>10</v>
      </c>
      <c r="G36" s="361">
        <v>20</v>
      </c>
      <c r="H36" s="361"/>
      <c r="I36" s="361">
        <v>20</v>
      </c>
      <c r="J36" s="361">
        <v>20</v>
      </c>
      <c r="K36" s="362"/>
      <c r="L36" s="360"/>
      <c r="M36" s="360"/>
      <c r="N36" s="363"/>
      <c r="O36" s="363"/>
      <c r="P36" s="363"/>
      <c r="Q36" s="363"/>
      <c r="R36" s="363"/>
      <c r="S36" s="363"/>
      <c r="T36" s="363"/>
      <c r="U36" s="363"/>
      <c r="V36" s="364"/>
    </row>
    <row r="37" spans="1:22" s="365" customFormat="1" ht="14.75" customHeight="1">
      <c r="A37" s="360"/>
      <c r="B37" s="359" t="s">
        <v>404</v>
      </c>
      <c r="C37" s="361" t="s">
        <v>176</v>
      </c>
      <c r="D37" s="361" t="s">
        <v>176</v>
      </c>
      <c r="E37" s="361"/>
      <c r="F37" s="361" t="s">
        <v>176</v>
      </c>
      <c r="G37" s="361" t="s">
        <v>176</v>
      </c>
      <c r="H37" s="361"/>
      <c r="I37" s="361" t="s">
        <v>195</v>
      </c>
      <c r="J37" s="361" t="s">
        <v>195</v>
      </c>
      <c r="K37" s="362"/>
      <c r="L37" s="360"/>
      <c r="M37" s="360"/>
      <c r="N37" s="363"/>
      <c r="O37" s="363"/>
      <c r="P37" s="363"/>
      <c r="Q37" s="363"/>
      <c r="R37" s="363"/>
      <c r="S37" s="363"/>
      <c r="T37" s="363"/>
      <c r="U37" s="363"/>
      <c r="V37" s="364"/>
    </row>
    <row r="38" spans="1:22" s="365" customFormat="1" ht="14.75" customHeight="1">
      <c r="A38" s="360"/>
      <c r="B38" s="359" t="s">
        <v>406</v>
      </c>
      <c r="C38" s="361" t="s">
        <v>43</v>
      </c>
      <c r="D38" s="361" t="s">
        <v>196</v>
      </c>
      <c r="E38" s="361"/>
      <c r="F38" s="361" t="s">
        <v>43</v>
      </c>
      <c r="G38" s="992" t="s">
        <v>49</v>
      </c>
      <c r="H38" s="361"/>
      <c r="I38" s="361" t="s">
        <v>196</v>
      </c>
      <c r="J38" s="361" t="s">
        <v>196</v>
      </c>
      <c r="K38" s="362"/>
      <c r="L38" s="360"/>
      <c r="M38" s="360"/>
      <c r="N38" s="363"/>
      <c r="O38" s="363"/>
      <c r="P38" s="363"/>
      <c r="Q38" s="363"/>
      <c r="R38" s="363"/>
      <c r="S38" s="363"/>
      <c r="T38" s="363"/>
      <c r="U38" s="363"/>
      <c r="V38" s="364"/>
    </row>
    <row r="39" spans="1:22" s="365" customFormat="1" ht="14.75" customHeight="1">
      <c r="A39" s="360"/>
      <c r="B39" s="359" t="s">
        <v>407</v>
      </c>
      <c r="C39" s="361">
        <v>5</v>
      </c>
      <c r="D39" s="361">
        <v>5</v>
      </c>
      <c r="E39" s="361"/>
      <c r="F39" s="992" t="s">
        <v>159</v>
      </c>
      <c r="G39" s="992" t="s">
        <v>57</v>
      </c>
      <c r="H39" s="361"/>
      <c r="I39" s="361">
        <v>8</v>
      </c>
      <c r="J39" s="361">
        <v>8</v>
      </c>
      <c r="K39" s="362"/>
      <c r="L39" s="360"/>
      <c r="M39" s="357" t="s">
        <v>654</v>
      </c>
      <c r="N39" s="358"/>
      <c r="O39" s="363"/>
      <c r="P39" s="363"/>
      <c r="Q39" s="363"/>
      <c r="R39" s="363"/>
      <c r="S39" s="363"/>
      <c r="T39" s="363"/>
      <c r="U39" s="363"/>
      <c r="V39" s="364"/>
    </row>
    <row r="40" spans="1:22" s="365" customFormat="1" ht="14.75" customHeight="1">
      <c r="A40" s="360"/>
      <c r="B40" s="359" t="s">
        <v>405</v>
      </c>
      <c r="C40" s="992" t="s">
        <v>869</v>
      </c>
      <c r="D40" s="992" t="s">
        <v>176</v>
      </c>
      <c r="E40" s="361"/>
      <c r="F40" s="361" t="s">
        <v>176</v>
      </c>
      <c r="G40" s="992" t="s">
        <v>870</v>
      </c>
      <c r="H40" s="361"/>
      <c r="I40" s="992" t="s">
        <v>176</v>
      </c>
      <c r="J40" s="992" t="s">
        <v>871</v>
      </c>
      <c r="K40" s="362"/>
      <c r="L40" s="360"/>
      <c r="M40" s="360" t="s">
        <v>415</v>
      </c>
      <c r="N40" s="363"/>
      <c r="O40" s="363"/>
      <c r="P40" s="363"/>
      <c r="Q40" s="363"/>
      <c r="R40" s="363"/>
      <c r="S40" s="363"/>
      <c r="T40" s="363"/>
      <c r="U40" s="363"/>
      <c r="V40" s="364"/>
    </row>
    <row r="41" spans="1:22" s="365" customFormat="1" ht="14.75" customHeight="1">
      <c r="A41" s="360"/>
      <c r="B41" s="359" t="s">
        <v>198</v>
      </c>
      <c r="C41" s="361" t="s">
        <v>28</v>
      </c>
      <c r="D41" s="361">
        <v>10</v>
      </c>
      <c r="E41" s="361"/>
      <c r="F41" s="992" t="s">
        <v>129</v>
      </c>
      <c r="G41" s="992" t="s">
        <v>42</v>
      </c>
      <c r="H41" s="361"/>
      <c r="I41" s="361" t="s">
        <v>134</v>
      </c>
      <c r="J41" s="361" t="s">
        <v>148</v>
      </c>
      <c r="K41" s="362"/>
      <c r="L41" s="360"/>
      <c r="M41" s="360"/>
      <c r="N41" s="360"/>
      <c r="O41" s="360"/>
      <c r="P41" s="363"/>
      <c r="Q41" s="363"/>
      <c r="R41" s="363"/>
      <c r="S41" s="363"/>
      <c r="T41" s="363"/>
      <c r="U41" s="363"/>
      <c r="V41" s="364"/>
    </row>
    <row r="42" spans="1:22" s="365" customFormat="1" ht="14.75" customHeight="1">
      <c r="A42" s="360"/>
      <c r="B42" s="359" t="s">
        <v>199</v>
      </c>
      <c r="C42" s="361" t="s">
        <v>28</v>
      </c>
      <c r="D42" s="361">
        <v>5</v>
      </c>
      <c r="E42" s="361"/>
      <c r="F42" s="361">
        <v>20</v>
      </c>
      <c r="G42" s="361">
        <v>10</v>
      </c>
      <c r="H42" s="361"/>
      <c r="I42" s="361">
        <v>10</v>
      </c>
      <c r="J42" s="361">
        <v>10</v>
      </c>
      <c r="K42" s="362"/>
      <c r="L42" s="360"/>
      <c r="M42" s="360" t="s">
        <v>71</v>
      </c>
      <c r="N42" s="1788" t="s">
        <v>744</v>
      </c>
      <c r="O42" s="1789"/>
      <c r="P42" s="363"/>
      <c r="Q42" s="1788" t="s">
        <v>747</v>
      </c>
      <c r="R42" s="1789"/>
      <c r="S42" s="361"/>
      <c r="T42" s="1788" t="s">
        <v>749</v>
      </c>
      <c r="U42" s="1789"/>
      <c r="V42" s="364"/>
    </row>
    <row r="43" spans="1:22" s="365" customFormat="1" ht="14.75" customHeight="1">
      <c r="A43" s="360"/>
      <c r="B43" s="359" t="s">
        <v>200</v>
      </c>
      <c r="C43" s="361" t="s">
        <v>49</v>
      </c>
      <c r="D43" s="361" t="s">
        <v>49</v>
      </c>
      <c r="E43" s="361"/>
      <c r="F43" s="361" t="s">
        <v>159</v>
      </c>
      <c r="G43" s="361">
        <v>3</v>
      </c>
      <c r="H43" s="361"/>
      <c r="I43" s="361" t="s">
        <v>159</v>
      </c>
      <c r="J43" s="361" t="s">
        <v>159</v>
      </c>
      <c r="K43" s="362"/>
      <c r="L43" s="360"/>
      <c r="M43" s="360" t="s">
        <v>191</v>
      </c>
      <c r="N43" s="1791" t="s">
        <v>745</v>
      </c>
      <c r="O43" s="1792"/>
      <c r="P43" s="363"/>
      <c r="Q43" s="1788" t="s">
        <v>748</v>
      </c>
      <c r="R43" s="1789"/>
      <c r="S43" s="361"/>
      <c r="T43" s="1786" t="s">
        <v>750</v>
      </c>
      <c r="U43" s="1787"/>
      <c r="V43" s="364"/>
    </row>
    <row r="44" spans="1:22" s="365" customFormat="1" ht="14.75" customHeight="1">
      <c r="A44" s="360"/>
      <c r="B44" s="1055" t="s">
        <v>677</v>
      </c>
      <c r="C44" s="992" t="s">
        <v>559</v>
      </c>
      <c r="D44" s="992" t="s">
        <v>559</v>
      </c>
      <c r="E44" s="361"/>
      <c r="F44" s="992" t="s">
        <v>146</v>
      </c>
      <c r="G44" s="992" t="s">
        <v>159</v>
      </c>
      <c r="H44" s="361"/>
      <c r="I44" s="992" t="s">
        <v>559</v>
      </c>
      <c r="J44" s="992" t="s">
        <v>559</v>
      </c>
      <c r="K44" s="362"/>
      <c r="L44" s="360"/>
      <c r="M44" s="360" t="s">
        <v>192</v>
      </c>
      <c r="N44" s="1791" t="s">
        <v>746</v>
      </c>
      <c r="O44" s="1792"/>
      <c r="P44" s="363"/>
      <c r="Q44" s="1788" t="s">
        <v>761</v>
      </c>
      <c r="R44" s="1789"/>
      <c r="S44" s="363"/>
      <c r="T44" s="1788" t="s">
        <v>751</v>
      </c>
      <c r="U44" s="1799"/>
      <c r="V44" s="364"/>
    </row>
    <row r="45" spans="1:22" s="365" customFormat="1" ht="14.75" customHeight="1">
      <c r="A45" s="360"/>
      <c r="B45" s="1055" t="s">
        <v>867</v>
      </c>
      <c r="C45" s="992" t="s">
        <v>159</v>
      </c>
      <c r="D45" s="992" t="s">
        <v>176</v>
      </c>
      <c r="E45" s="361"/>
      <c r="F45" s="992" t="s">
        <v>28</v>
      </c>
      <c r="G45" s="992" t="s">
        <v>868</v>
      </c>
      <c r="H45" s="361"/>
      <c r="I45" s="992" t="s">
        <v>176</v>
      </c>
      <c r="J45" s="992" t="s">
        <v>869</v>
      </c>
      <c r="K45" s="362"/>
      <c r="L45" s="360"/>
      <c r="M45" s="360" t="s">
        <v>193</v>
      </c>
      <c r="N45" s="1792" t="s">
        <v>276</v>
      </c>
      <c r="O45" s="1792"/>
      <c r="P45" s="363"/>
      <c r="Q45" s="1800" t="s">
        <v>28</v>
      </c>
      <c r="R45" s="1787"/>
      <c r="S45" s="363"/>
      <c r="T45" s="1800" t="s">
        <v>28</v>
      </c>
      <c r="U45" s="1787"/>
      <c r="V45" s="364"/>
    </row>
    <row r="46" spans="1:22" s="365" customFormat="1" ht="14.75" customHeight="1">
      <c r="A46" s="360"/>
      <c r="B46" s="1055" t="s">
        <v>655</v>
      </c>
      <c r="C46" s="361" t="s">
        <v>43</v>
      </c>
      <c r="D46" s="361" t="s">
        <v>49</v>
      </c>
      <c r="E46" s="361"/>
      <c r="F46" s="992" t="s">
        <v>43</v>
      </c>
      <c r="G46" s="992" t="s">
        <v>49</v>
      </c>
      <c r="H46" s="361"/>
      <c r="I46" s="361" t="s">
        <v>271</v>
      </c>
      <c r="J46" s="361" t="s">
        <v>271</v>
      </c>
      <c r="K46" s="362"/>
      <c r="L46" s="360"/>
      <c r="M46" s="360"/>
      <c r="N46" s="1532"/>
      <c r="O46" s="1532"/>
      <c r="P46" s="363"/>
      <c r="Q46" s="363"/>
      <c r="R46" s="341"/>
      <c r="S46" s="363"/>
      <c r="T46" s="363"/>
      <c r="U46" s="341"/>
      <c r="V46" s="364"/>
    </row>
    <row r="47" spans="1:22" s="365" customFormat="1" ht="14.75" customHeight="1">
      <c r="A47" s="360"/>
      <c r="B47" s="359" t="s">
        <v>202</v>
      </c>
      <c r="C47" s="361" t="s">
        <v>129</v>
      </c>
      <c r="D47" s="361" t="s">
        <v>177</v>
      </c>
      <c r="E47" s="361"/>
      <c r="F47" s="992" t="s">
        <v>146</v>
      </c>
      <c r="G47" s="992" t="s">
        <v>177</v>
      </c>
      <c r="H47" s="361"/>
      <c r="I47" s="361" t="s">
        <v>42</v>
      </c>
      <c r="J47" s="361" t="s">
        <v>177</v>
      </c>
      <c r="K47" s="362"/>
      <c r="L47" s="360"/>
      <c r="V47" s="364"/>
    </row>
    <row r="48" spans="1:22" s="365" customFormat="1" ht="14.75" customHeight="1">
      <c r="A48" s="360"/>
      <c r="B48" s="359" t="s">
        <v>204</v>
      </c>
      <c r="C48" s="361" t="s">
        <v>28</v>
      </c>
      <c r="D48" s="361" t="s">
        <v>28</v>
      </c>
      <c r="E48" s="361"/>
      <c r="F48" s="361">
        <v>10</v>
      </c>
      <c r="G48" s="361">
        <v>5</v>
      </c>
      <c r="H48" s="361"/>
      <c r="I48" s="361">
        <v>5</v>
      </c>
      <c r="J48" s="361">
        <v>5</v>
      </c>
      <c r="K48" s="362"/>
      <c r="L48" s="360"/>
      <c r="M48" s="360"/>
      <c r="N48" s="363"/>
      <c r="O48" s="361"/>
      <c r="P48" s="363"/>
      <c r="Q48" s="1789"/>
      <c r="R48" s="1789"/>
      <c r="S48" s="363"/>
      <c r="T48" s="363"/>
      <c r="U48" s="363"/>
      <c r="V48" s="364"/>
    </row>
    <row r="49" spans="1:22" s="365" customFormat="1" ht="14.75" customHeight="1">
      <c r="A49" s="360"/>
      <c r="B49" s="359" t="s">
        <v>201</v>
      </c>
      <c r="C49" s="992" t="s">
        <v>869</v>
      </c>
      <c r="D49" s="992" t="s">
        <v>869</v>
      </c>
      <c r="E49" s="361"/>
      <c r="F49" s="992" t="s">
        <v>197</v>
      </c>
      <c r="G49" s="992" t="s">
        <v>176</v>
      </c>
      <c r="H49" s="361"/>
      <c r="I49" s="992" t="s">
        <v>176</v>
      </c>
      <c r="J49" s="992" t="s">
        <v>176</v>
      </c>
      <c r="K49" s="362"/>
      <c r="L49" s="360"/>
      <c r="V49" s="364"/>
    </row>
    <row r="50" spans="1:22" s="365" customFormat="1" ht="14.75" customHeight="1">
      <c r="A50" s="360"/>
      <c r="B50" s="359" t="s">
        <v>272</v>
      </c>
      <c r="C50" s="361" t="s">
        <v>28</v>
      </c>
      <c r="D50" s="361" t="s">
        <v>159</v>
      </c>
      <c r="E50" s="361"/>
      <c r="F50" s="361" t="s">
        <v>203</v>
      </c>
      <c r="G50" s="361" t="s">
        <v>203</v>
      </c>
      <c r="H50" s="361"/>
      <c r="I50" s="361" t="s">
        <v>168</v>
      </c>
      <c r="J50" s="361" t="s">
        <v>168</v>
      </c>
      <c r="K50" s="362"/>
      <c r="L50" s="360"/>
      <c r="M50" s="1796" t="s">
        <v>413</v>
      </c>
      <c r="N50" s="1797"/>
      <c r="O50" s="1797"/>
      <c r="P50" s="1797"/>
      <c r="Q50" s="1797"/>
      <c r="R50" s="1797"/>
      <c r="S50" s="1797"/>
      <c r="T50" s="1797"/>
      <c r="U50" s="1797"/>
      <c r="V50" s="364"/>
    </row>
    <row r="51" spans="1:22" s="365" customFormat="1" ht="14.75" customHeight="1">
      <c r="A51" s="360"/>
      <c r="B51" s="359" t="s">
        <v>273</v>
      </c>
      <c r="C51" s="361" t="s">
        <v>28</v>
      </c>
      <c r="D51" s="361" t="s">
        <v>159</v>
      </c>
      <c r="E51" s="361"/>
      <c r="F51" s="361" t="s">
        <v>203</v>
      </c>
      <c r="G51" s="361" t="s">
        <v>203</v>
      </c>
      <c r="H51" s="361"/>
      <c r="I51" s="361" t="s">
        <v>168</v>
      </c>
      <c r="J51" s="361" t="s">
        <v>168</v>
      </c>
      <c r="K51" s="362"/>
      <c r="L51" s="360"/>
      <c r="M51" s="1796" t="s">
        <v>414</v>
      </c>
      <c r="N51" s="1797"/>
      <c r="O51" s="1797"/>
      <c r="P51" s="1797"/>
      <c r="Q51" s="1797"/>
      <c r="R51" s="1797"/>
      <c r="S51" s="1797"/>
      <c r="T51" s="1797"/>
      <c r="U51" s="1797"/>
      <c r="V51" s="364"/>
    </row>
    <row r="52" spans="1:22" s="365" customFormat="1" ht="14.75" customHeight="1">
      <c r="A52" s="360"/>
      <c r="B52" s="359" t="s">
        <v>274</v>
      </c>
      <c r="C52" s="361" t="s">
        <v>28</v>
      </c>
      <c r="D52" s="361" t="s">
        <v>159</v>
      </c>
      <c r="E52" s="361"/>
      <c r="F52" s="361" t="s">
        <v>203</v>
      </c>
      <c r="G52" s="361" t="s">
        <v>203</v>
      </c>
      <c r="H52" s="361"/>
      <c r="I52" s="361" t="s">
        <v>197</v>
      </c>
      <c r="J52" s="361" t="s">
        <v>168</v>
      </c>
      <c r="K52" s="362"/>
      <c r="L52" s="360"/>
      <c r="M52" s="1798" t="s">
        <v>760</v>
      </c>
      <c r="N52" s="1797"/>
      <c r="O52" s="1797"/>
      <c r="P52" s="1797"/>
      <c r="Q52" s="1797"/>
      <c r="R52" s="1797"/>
      <c r="S52" s="1797"/>
      <c r="T52" s="1797"/>
      <c r="U52" s="1797"/>
      <c r="V52" s="364"/>
    </row>
    <row r="53" spans="1:22" s="365" customFormat="1" ht="14.75" customHeight="1">
      <c r="A53" s="360"/>
      <c r="B53" s="359" t="s">
        <v>48</v>
      </c>
      <c r="C53" s="361" t="s">
        <v>129</v>
      </c>
      <c r="D53" s="361" t="s">
        <v>42</v>
      </c>
      <c r="E53" s="361"/>
      <c r="F53" s="992" t="s">
        <v>129</v>
      </c>
      <c r="G53" s="992" t="s">
        <v>42</v>
      </c>
      <c r="H53" s="361"/>
      <c r="I53" s="361" t="s">
        <v>275</v>
      </c>
      <c r="J53" s="361">
        <v>50</v>
      </c>
      <c r="K53" s="362"/>
      <c r="L53" s="360"/>
      <c r="M53" s="360"/>
      <c r="N53" s="363"/>
      <c r="O53" s="363"/>
      <c r="P53" s="363"/>
      <c r="Q53" s="363"/>
      <c r="R53" s="363"/>
      <c r="S53" s="363"/>
      <c r="T53" s="363"/>
      <c r="U53" s="363"/>
      <c r="V53" s="364"/>
    </row>
    <row r="54" spans="1:22" s="365" customFormat="1" ht="14.75" customHeight="1">
      <c r="A54" s="360"/>
      <c r="B54" s="1055" t="s">
        <v>682</v>
      </c>
      <c r="C54" s="992" t="s">
        <v>28</v>
      </c>
      <c r="D54" s="992" t="s">
        <v>28</v>
      </c>
      <c r="E54" s="361"/>
      <c r="F54" s="992" t="s">
        <v>41</v>
      </c>
      <c r="G54" s="992" t="s">
        <v>47</v>
      </c>
      <c r="H54" s="361"/>
      <c r="I54" s="992" t="s">
        <v>57</v>
      </c>
      <c r="J54" s="992" t="s">
        <v>146</v>
      </c>
      <c r="K54" s="362"/>
      <c r="L54" s="360"/>
      <c r="M54" s="360"/>
      <c r="N54" s="363"/>
      <c r="O54" s="363"/>
      <c r="P54" s="363"/>
      <c r="Q54" s="363"/>
      <c r="R54" s="363"/>
      <c r="S54" s="363"/>
      <c r="T54" s="363"/>
      <c r="U54" s="363"/>
      <c r="V54" s="364"/>
    </row>
    <row r="55" spans="1:22" s="365" customFormat="1" ht="14.75" customHeight="1">
      <c r="A55" s="360"/>
      <c r="B55" s="1055" t="s">
        <v>674</v>
      </c>
      <c r="C55" s="992" t="s">
        <v>559</v>
      </c>
      <c r="D55" s="361">
        <v>5</v>
      </c>
      <c r="E55" s="361"/>
      <c r="F55" s="992" t="s">
        <v>129</v>
      </c>
      <c r="G55" s="992" t="s">
        <v>159</v>
      </c>
      <c r="H55" s="361"/>
      <c r="I55" s="992" t="s">
        <v>159</v>
      </c>
      <c r="J55" s="361">
        <v>10</v>
      </c>
      <c r="K55" s="362"/>
      <c r="L55" s="360"/>
      <c r="M55" s="360"/>
      <c r="N55" s="363"/>
      <c r="O55" s="363"/>
      <c r="P55" s="363"/>
      <c r="Q55" s="363"/>
      <c r="R55" s="363"/>
      <c r="S55" s="363"/>
      <c r="T55" s="363"/>
      <c r="U55" s="363"/>
      <c r="V55" s="364"/>
    </row>
    <row r="56" spans="1:22" s="365" customFormat="1" ht="14.75" customHeight="1">
      <c r="A56" s="360"/>
      <c r="B56" s="359" t="s">
        <v>26</v>
      </c>
      <c r="C56" s="361" t="s">
        <v>111</v>
      </c>
      <c r="D56" s="361" t="s">
        <v>270</v>
      </c>
      <c r="E56" s="361"/>
      <c r="F56" s="992" t="s">
        <v>129</v>
      </c>
      <c r="G56" s="361" t="s">
        <v>148</v>
      </c>
      <c r="H56" s="361"/>
      <c r="I56" s="361" t="s">
        <v>270</v>
      </c>
      <c r="J56" s="992" t="s">
        <v>148</v>
      </c>
      <c r="K56" s="362"/>
      <c r="L56" s="360"/>
      <c r="M56" s="360"/>
      <c r="N56" s="363"/>
      <c r="O56" s="363"/>
      <c r="P56" s="363"/>
      <c r="Q56" s="363"/>
      <c r="R56" s="363"/>
      <c r="S56" s="363"/>
      <c r="T56" s="363"/>
      <c r="U56" s="363"/>
      <c r="V56" s="364"/>
    </row>
    <row r="57" spans="1:22" s="365" customFormat="1" ht="14.75" customHeight="1">
      <c r="A57" s="360"/>
      <c r="B57" s="359" t="s">
        <v>205</v>
      </c>
      <c r="C57" s="361">
        <v>10</v>
      </c>
      <c r="D57" s="361" t="s">
        <v>146</v>
      </c>
      <c r="E57" s="361"/>
      <c r="F57" s="992" t="s">
        <v>57</v>
      </c>
      <c r="G57" s="361">
        <v>20</v>
      </c>
      <c r="H57" s="361"/>
      <c r="I57" s="992" t="s">
        <v>42</v>
      </c>
      <c r="J57" s="361" t="s">
        <v>146</v>
      </c>
      <c r="K57" s="362"/>
      <c r="L57" s="360"/>
      <c r="M57" s="360"/>
      <c r="N57" s="363"/>
      <c r="O57" s="363"/>
      <c r="P57" s="363"/>
      <c r="Q57" s="363"/>
      <c r="R57" s="363"/>
      <c r="S57" s="363"/>
      <c r="T57" s="363"/>
      <c r="U57" s="363"/>
      <c r="V57" s="364"/>
    </row>
    <row r="58" spans="1:22" s="365" customFormat="1" ht="14.75" customHeight="1">
      <c r="A58" s="360"/>
      <c r="B58" s="359" t="s">
        <v>77</v>
      </c>
      <c r="C58" s="361">
        <v>5</v>
      </c>
      <c r="D58" s="361">
        <v>5</v>
      </c>
      <c r="E58" s="361"/>
      <c r="F58" s="361">
        <v>20</v>
      </c>
      <c r="G58" s="361">
        <v>10</v>
      </c>
      <c r="H58" s="361"/>
      <c r="I58" s="361">
        <v>10</v>
      </c>
      <c r="J58" s="361">
        <v>10</v>
      </c>
      <c r="K58" s="362"/>
      <c r="L58" s="360"/>
      <c r="M58" s="360"/>
      <c r="N58" s="363"/>
      <c r="O58" s="363"/>
      <c r="P58" s="363"/>
      <c r="Q58" s="363"/>
      <c r="R58" s="363"/>
      <c r="S58" s="363"/>
      <c r="T58" s="363"/>
      <c r="U58" s="363"/>
      <c r="V58" s="364"/>
    </row>
    <row r="59" spans="1:22" s="365" customFormat="1" ht="6" customHeight="1">
      <c r="A59" s="360"/>
      <c r="B59" s="367"/>
      <c r="C59" s="369"/>
      <c r="D59" s="369"/>
      <c r="E59" s="369"/>
      <c r="F59" s="369"/>
      <c r="G59" s="369"/>
      <c r="H59" s="369"/>
      <c r="I59" s="369"/>
      <c r="J59" s="369"/>
      <c r="K59" s="370"/>
      <c r="L59" s="368"/>
      <c r="M59" s="368"/>
      <c r="N59" s="371"/>
      <c r="O59" s="371"/>
      <c r="P59" s="371"/>
      <c r="Q59" s="371"/>
      <c r="R59" s="371"/>
      <c r="S59" s="371"/>
      <c r="T59" s="371"/>
      <c r="U59" s="371"/>
      <c r="V59" s="372"/>
    </row>
    <row r="60" spans="1:22" s="365" customFormat="1" ht="6" customHeight="1">
      <c r="A60" s="360"/>
      <c r="B60" s="360"/>
      <c r="C60" s="361"/>
      <c r="D60" s="361"/>
      <c r="E60" s="361"/>
      <c r="F60" s="361"/>
      <c r="G60" s="361"/>
      <c r="H60" s="361"/>
      <c r="I60" s="361"/>
      <c r="J60" s="361"/>
      <c r="K60" s="360"/>
      <c r="L60" s="360"/>
      <c r="M60" s="360"/>
      <c r="N60" s="363"/>
      <c r="O60" s="363"/>
      <c r="P60" s="363"/>
      <c r="Q60" s="363"/>
      <c r="R60" s="363"/>
      <c r="S60" s="363"/>
      <c r="T60" s="363"/>
      <c r="U60" s="363"/>
      <c r="V60" s="360"/>
    </row>
    <row r="61" spans="1:22" s="365" customFormat="1">
      <c r="A61" s="360"/>
      <c r="B61" s="360" t="s">
        <v>206</v>
      </c>
      <c r="C61" s="373"/>
      <c r="D61" s="373"/>
      <c r="E61" s="373"/>
      <c r="F61" s="373"/>
      <c r="G61" s="373"/>
      <c r="H61" s="373"/>
      <c r="I61" s="373"/>
      <c r="J61" s="373"/>
      <c r="N61" s="373"/>
      <c r="O61" s="373"/>
      <c r="P61" s="373"/>
      <c r="Q61" s="373"/>
      <c r="R61" s="373"/>
      <c r="S61" s="373"/>
      <c r="T61" s="373"/>
      <c r="U61" s="373"/>
    </row>
    <row r="62" spans="1:22">
      <c r="A62" s="360"/>
      <c r="B62" s="522" t="s">
        <v>410</v>
      </c>
      <c r="C62" s="373"/>
      <c r="D62" s="373"/>
      <c r="E62" s="373"/>
      <c r="F62" s="373"/>
      <c r="G62" s="373"/>
      <c r="H62" s="373"/>
      <c r="I62" s="373"/>
      <c r="J62" s="373"/>
      <c r="K62" s="365"/>
      <c r="L62" s="365"/>
      <c r="M62" s="365"/>
      <c r="N62" s="373"/>
      <c r="O62" s="373"/>
      <c r="P62" s="373"/>
      <c r="Q62" s="373"/>
      <c r="R62" s="373"/>
      <c r="S62" s="373"/>
      <c r="T62" s="373"/>
      <c r="U62" s="373"/>
      <c r="V62" s="365"/>
    </row>
    <row r="63" spans="1:22">
      <c r="B63" s="521" t="s">
        <v>408</v>
      </c>
      <c r="C63" s="373"/>
      <c r="D63" s="373"/>
      <c r="E63" s="373"/>
      <c r="F63" s="373"/>
      <c r="G63" s="373"/>
      <c r="H63" s="373"/>
      <c r="I63" s="373"/>
      <c r="J63" s="373"/>
      <c r="K63" s="365"/>
      <c r="L63" s="365"/>
      <c r="M63" s="365"/>
      <c r="N63" s="373"/>
      <c r="O63" s="373"/>
      <c r="P63" s="373"/>
      <c r="Q63" s="373"/>
      <c r="R63" s="373"/>
      <c r="S63" s="373"/>
      <c r="T63" s="373"/>
      <c r="U63" s="373"/>
      <c r="V63" s="365"/>
    </row>
    <row r="64" spans="1:22">
      <c r="B64" s="521" t="s">
        <v>409</v>
      </c>
    </row>
    <row r="65" spans="2:2">
      <c r="B65" s="521" t="s">
        <v>416</v>
      </c>
    </row>
  </sheetData>
  <sheetProtection sheet="1" objects="1" scenarios="1" selectLockedCells="1"/>
  <customSheetViews>
    <customSheetView guid="{459F3284-99E1-4A46-80B6-CF44B0CB392E}" scale="110" fitToPage="1">
      <pane xSplit="2" ySplit="8" topLeftCell="C12" activePane="bottomRight" state="frozenSplit"/>
      <selection pane="bottomRight" activeCell="B24" sqref="B24"/>
      <printOptions horizontalCentered="1" verticalCentered="1"/>
      <pageSetup paperSize="9" scale="78" orientation="portrait"/>
      <headerFooter alignWithMargins="0"/>
    </customSheetView>
  </customSheetViews>
  <mergeCells count="26">
    <mergeCell ref="M51:U51"/>
    <mergeCell ref="M52:U52"/>
    <mergeCell ref="Q44:R44"/>
    <mergeCell ref="N44:O44"/>
    <mergeCell ref="N45:O45"/>
    <mergeCell ref="Q48:R48"/>
    <mergeCell ref="M50:U50"/>
    <mergeCell ref="T44:U44"/>
    <mergeCell ref="T45:U45"/>
    <mergeCell ref="Q45:R45"/>
    <mergeCell ref="A4:U4"/>
    <mergeCell ref="A5:V5"/>
    <mergeCell ref="D10:E10"/>
    <mergeCell ref="T42:U42"/>
    <mergeCell ref="F9:G9"/>
    <mergeCell ref="N9:P9"/>
    <mergeCell ref="Q9:R9"/>
    <mergeCell ref="N42:O42"/>
    <mergeCell ref="O10:P10"/>
    <mergeCell ref="T43:U43"/>
    <mergeCell ref="Q42:R42"/>
    <mergeCell ref="Q43:R43"/>
    <mergeCell ref="C9:E9"/>
    <mergeCell ref="I9:J9"/>
    <mergeCell ref="T9:U9"/>
    <mergeCell ref="N43:O43"/>
  </mergeCells>
  <phoneticPr fontId="2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78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61" r:id="rId3" name="Button 1">
              <controlPr defaultSize="0" print="0" autoFill="0" autoPict="0" macro="[0]!Startseite">
                <anchor moveWithCells="1">
                  <from>
                    <xdr:col>2</xdr:col>
                    <xdr:colOff>25400</xdr:colOff>
                    <xdr:row>1</xdr:row>
                    <xdr:rowOff>0</xdr:rowOff>
                  </from>
                  <to>
                    <xdr:col>7</xdr:col>
                    <xdr:colOff>63500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762" r:id="rId4" name="Button 2">
              <controlPr defaultSize="0" print="0" autoFill="0" autoPict="0" macro="[0]!Futterberechnung">
                <anchor moveWithCells="1">
                  <from>
                    <xdr:col>8</xdr:col>
                    <xdr:colOff>292100</xdr:colOff>
                    <xdr:row>1</xdr:row>
                    <xdr:rowOff>0</xdr:rowOff>
                  </from>
                  <to>
                    <xdr:col>12</xdr:col>
                    <xdr:colOff>952500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763" r:id="rId5" name="Button 3">
              <controlPr defaultSize="0" print="0" autoFill="0" autoPict="0" macro="[0]!FuMi_Liste">
                <anchor moveWithCells="1">
                  <from>
                    <xdr:col>13</xdr:col>
                    <xdr:colOff>63500</xdr:colOff>
                    <xdr:row>0</xdr:row>
                    <xdr:rowOff>50800</xdr:rowOff>
                  </from>
                  <to>
                    <xdr:col>18</xdr:col>
                    <xdr:colOff>101600</xdr:colOff>
                    <xdr:row>1</xdr:row>
                    <xdr:rowOff>266700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 enableFormatConditionsCalculation="0">
    <tabColor indexed="43"/>
    <pageSetUpPr fitToPage="1"/>
  </sheetPr>
  <dimension ref="A1:AM134"/>
  <sheetViews>
    <sheetView showGridLines="0" showRowColHeaders="0" zoomScale="89" zoomScaleNormal="89" zoomScalePageLayoutView="89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7" sqref="G7"/>
    </sheetView>
  </sheetViews>
  <sheetFormatPr baseColWidth="10" defaultRowHeight="12" x14ac:dyDescent="0"/>
  <cols>
    <col min="1" max="1" width="1.1640625" style="14" customWidth="1"/>
    <col min="2" max="2" width="20.6640625" style="14" customWidth="1"/>
    <col min="3" max="3" width="21.5" style="14" customWidth="1"/>
    <col min="4" max="24" width="7.6640625" style="14" customWidth="1"/>
    <col min="25" max="16384" width="10.83203125" style="14"/>
  </cols>
  <sheetData>
    <row r="1" spans="2:39" s="99" customFormat="1" ht="5.25" customHeight="1"/>
    <row r="2" spans="2:39" s="99" customFormat="1" ht="24" customHeight="1"/>
    <row r="3" spans="2:39" s="99" customFormat="1" ht="3.75" customHeight="1">
      <c r="AK3" s="14"/>
      <c r="AL3" s="14"/>
      <c r="AM3" s="14"/>
    </row>
    <row r="4" spans="2:39" ht="30.75" customHeight="1">
      <c r="B4" s="1805" t="s">
        <v>1025</v>
      </c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806"/>
      <c r="X4" s="1806"/>
    </row>
    <row r="5" spans="2:39" ht="15" customHeight="1" thickBot="1"/>
    <row r="6" spans="2:39" s="82" customFormat="1" ht="60" customHeight="1" thickBot="1">
      <c r="E6" s="95" t="s">
        <v>786</v>
      </c>
      <c r="F6" s="1249"/>
      <c r="G6" s="95" t="s">
        <v>300</v>
      </c>
      <c r="H6" s="94"/>
      <c r="I6" s="94"/>
      <c r="J6" s="94"/>
      <c r="K6" s="95" t="s">
        <v>301</v>
      </c>
      <c r="L6" s="1249"/>
      <c r="M6" s="95" t="s">
        <v>302</v>
      </c>
      <c r="N6" s="1249"/>
      <c r="O6" s="1249"/>
      <c r="P6" s="1249"/>
      <c r="Q6" s="95" t="s">
        <v>303</v>
      </c>
      <c r="T6" s="1283"/>
    </row>
    <row r="7" spans="2:39" ht="15" customHeight="1" thickBot="1">
      <c r="E7" s="329">
        <v>13.4</v>
      </c>
      <c r="F7" s="1288"/>
      <c r="G7" s="329">
        <v>13.2</v>
      </c>
      <c r="H7" s="1289"/>
      <c r="I7" s="1289"/>
      <c r="J7" s="1289"/>
      <c r="K7" s="329">
        <v>13</v>
      </c>
      <c r="L7" s="1288"/>
      <c r="M7" s="329">
        <v>13</v>
      </c>
      <c r="N7" s="1288"/>
      <c r="O7" s="1288"/>
      <c r="P7" s="1288"/>
      <c r="Q7" s="329">
        <v>13</v>
      </c>
    </row>
    <row r="8" spans="2:39" ht="20" customHeight="1">
      <c r="E8" s="168" t="s">
        <v>316</v>
      </c>
      <c r="F8" s="168"/>
      <c r="G8" s="168" t="s">
        <v>316</v>
      </c>
      <c r="H8" s="82"/>
      <c r="I8" s="82"/>
      <c r="J8" s="82"/>
      <c r="K8" s="168" t="s">
        <v>316</v>
      </c>
      <c r="L8" s="168"/>
      <c r="M8" s="168" t="s">
        <v>317</v>
      </c>
      <c r="N8" s="168"/>
      <c r="O8" s="168"/>
      <c r="P8" s="168"/>
      <c r="Q8" s="168" t="s">
        <v>317</v>
      </c>
    </row>
    <row r="9" spans="2:39" s="71" customFormat="1" ht="20" customHeight="1">
      <c r="B9" s="1804" t="str">
        <f>IF($T$6="HP","Mast beider Geschlechter mit hohem Proteinansatz &amp; für die Jungebermast geeignet","Mast beider Geschlechter")</f>
        <v>Mast beider Geschlechter</v>
      </c>
      <c r="C9" s="1804"/>
      <c r="D9" s="1804"/>
      <c r="E9" s="1804"/>
      <c r="F9" s="1804"/>
      <c r="G9" s="1804"/>
      <c r="H9" s="1804"/>
      <c r="I9" s="1804"/>
      <c r="J9" s="1804"/>
      <c r="K9" s="1804"/>
      <c r="L9" s="1804"/>
      <c r="M9" s="1804"/>
      <c r="N9" s="1804"/>
      <c r="O9" s="1804"/>
      <c r="P9" s="1804"/>
      <c r="Q9" s="1804"/>
      <c r="R9" s="1804"/>
      <c r="S9" s="1804"/>
      <c r="T9" s="1804"/>
      <c r="U9" s="1804"/>
      <c r="V9" s="1804"/>
      <c r="W9" s="1804"/>
      <c r="X9" s="1804"/>
    </row>
    <row r="10" spans="2:39" ht="20" customHeight="1">
      <c r="J10" s="1260" t="str">
        <f>B9</f>
        <v>Mast beider Geschlechter</v>
      </c>
    </row>
    <row r="11" spans="2:39" s="75" customFormat="1" ht="20" customHeight="1">
      <c r="B11" s="72" t="s">
        <v>256</v>
      </c>
      <c r="C11" s="73" t="s">
        <v>257</v>
      </c>
      <c r="D11" s="1253">
        <v>25</v>
      </c>
      <c r="E11" s="74">
        <v>30</v>
      </c>
      <c r="F11" s="74">
        <v>35</v>
      </c>
      <c r="G11" s="74">
        <v>40</v>
      </c>
      <c r="H11" s="74">
        <v>45</v>
      </c>
      <c r="I11" s="74">
        <v>50</v>
      </c>
      <c r="J11" s="74">
        <v>55</v>
      </c>
      <c r="K11" s="74">
        <v>60</v>
      </c>
      <c r="L11" s="74">
        <v>65</v>
      </c>
      <c r="M11" s="74">
        <v>70</v>
      </c>
      <c r="N11" s="74">
        <v>75</v>
      </c>
      <c r="O11" s="74">
        <v>80</v>
      </c>
      <c r="P11" s="74">
        <v>85</v>
      </c>
      <c r="Q11" s="74">
        <v>90</v>
      </c>
      <c r="R11" s="74">
        <v>95</v>
      </c>
      <c r="S11" s="74">
        <v>100</v>
      </c>
      <c r="T11" s="74">
        <v>105</v>
      </c>
      <c r="U11" s="74">
        <v>110</v>
      </c>
      <c r="V11" s="74">
        <v>115</v>
      </c>
      <c r="W11" s="74">
        <v>120</v>
      </c>
      <c r="X11" s="1253">
        <v>125</v>
      </c>
      <c r="Y11" s="1801" t="s">
        <v>784</v>
      </c>
      <c r="Z11" s="1248"/>
      <c r="AA11" s="1248"/>
    </row>
    <row r="12" spans="2:39" s="78" customFormat="1" ht="20" customHeight="1" thickBot="1">
      <c r="B12" s="76" t="s">
        <v>258</v>
      </c>
      <c r="C12" s="598">
        <f>ROUND(AVERAGE(E12:W12),-1)</f>
        <v>750</v>
      </c>
      <c r="D12" s="1254">
        <v>617</v>
      </c>
      <c r="E12" s="77">
        <v>660</v>
      </c>
      <c r="F12" s="77">
        <v>697</v>
      </c>
      <c r="G12" s="77">
        <v>730</v>
      </c>
      <c r="H12" s="77">
        <v>758</v>
      </c>
      <c r="I12" s="77">
        <v>781</v>
      </c>
      <c r="J12" s="77">
        <v>799</v>
      </c>
      <c r="K12" s="77">
        <v>812</v>
      </c>
      <c r="L12" s="77">
        <v>820</v>
      </c>
      <c r="M12" s="77">
        <v>823</v>
      </c>
      <c r="N12" s="77">
        <v>821</v>
      </c>
      <c r="O12" s="77">
        <v>814</v>
      </c>
      <c r="P12" s="77">
        <v>802</v>
      </c>
      <c r="Q12" s="77">
        <v>785</v>
      </c>
      <c r="R12" s="77">
        <v>762</v>
      </c>
      <c r="S12" s="77">
        <v>735</v>
      </c>
      <c r="T12" s="77">
        <v>703</v>
      </c>
      <c r="U12" s="77">
        <v>666</v>
      </c>
      <c r="V12" s="77">
        <v>624</v>
      </c>
      <c r="W12" s="77">
        <v>577</v>
      </c>
      <c r="X12" s="1254">
        <v>525</v>
      </c>
      <c r="Y12" s="1807"/>
      <c r="Z12" s="1248"/>
      <c r="AA12" s="1248"/>
    </row>
    <row r="13" spans="2:39" s="1250" customFormat="1" ht="20" customHeight="1" thickBot="1">
      <c r="B13" s="1251" t="s">
        <v>782</v>
      </c>
      <c r="C13" s="1252" t="s">
        <v>783</v>
      </c>
      <c r="D13" s="1256">
        <f>5/D12*1000</f>
        <v>8.1037277147487838</v>
      </c>
      <c r="E13" s="1257">
        <f t="shared" ref="E13:X13" si="0">5/E12*1000</f>
        <v>7.5757575757575761</v>
      </c>
      <c r="F13" s="1257">
        <f t="shared" si="0"/>
        <v>7.1736011477761839</v>
      </c>
      <c r="G13" s="1257">
        <f t="shared" si="0"/>
        <v>6.8493150684931505</v>
      </c>
      <c r="H13" s="1257">
        <f t="shared" si="0"/>
        <v>6.5963060686015833</v>
      </c>
      <c r="I13" s="1257">
        <f t="shared" si="0"/>
        <v>6.4020486555697822</v>
      </c>
      <c r="J13" s="1257">
        <f t="shared" si="0"/>
        <v>6.2578222778473087</v>
      </c>
      <c r="K13" s="1257">
        <f t="shared" si="0"/>
        <v>6.1576354679802963</v>
      </c>
      <c r="L13" s="1257">
        <f t="shared" si="0"/>
        <v>6.0975609756097562</v>
      </c>
      <c r="M13" s="1257">
        <f t="shared" si="0"/>
        <v>6.0753341433778862</v>
      </c>
      <c r="N13" s="1257">
        <f t="shared" si="0"/>
        <v>6.0901339829476244</v>
      </c>
      <c r="O13" s="1257">
        <f t="shared" si="0"/>
        <v>6.142506142506142</v>
      </c>
      <c r="P13" s="1257">
        <f t="shared" si="0"/>
        <v>6.2344139650872821</v>
      </c>
      <c r="Q13" s="1257">
        <f t="shared" si="0"/>
        <v>6.369426751592357</v>
      </c>
      <c r="R13" s="1257">
        <f t="shared" si="0"/>
        <v>6.5616797900262469</v>
      </c>
      <c r="S13" s="1257">
        <f t="shared" si="0"/>
        <v>6.8027210884353737</v>
      </c>
      <c r="T13" s="1257">
        <f t="shared" si="0"/>
        <v>7.1123755334281649</v>
      </c>
      <c r="U13" s="1257">
        <f t="shared" si="0"/>
        <v>7.5075075075075075</v>
      </c>
      <c r="V13" s="1257">
        <f t="shared" si="0"/>
        <v>8.0128205128205128</v>
      </c>
      <c r="W13" s="1258">
        <f t="shared" si="0"/>
        <v>8.6655112651646444</v>
      </c>
      <c r="X13" s="1259">
        <f t="shared" si="0"/>
        <v>9.5238095238095255</v>
      </c>
      <c r="Y13" s="1255">
        <f>ROUND(SUM(E13:V13),0)</f>
        <v>120</v>
      </c>
    </row>
    <row r="14" spans="2:39" s="78" customFormat="1" ht="20" customHeight="1">
      <c r="B14" s="599" t="s">
        <v>14</v>
      </c>
      <c r="C14" s="600" t="s">
        <v>259</v>
      </c>
      <c r="D14" s="206">
        <v>16</v>
      </c>
      <c r="E14" s="206">
        <v>17.899999999999999</v>
      </c>
      <c r="F14" s="206">
        <v>19.7</v>
      </c>
      <c r="G14" s="206">
        <v>21.5</v>
      </c>
      <c r="H14" s="206">
        <v>23.1</v>
      </c>
      <c r="I14" s="206">
        <v>24.6</v>
      </c>
      <c r="J14" s="206">
        <v>26</v>
      </c>
      <c r="K14" s="206">
        <v>27.3</v>
      </c>
      <c r="L14" s="206">
        <v>28.4</v>
      </c>
      <c r="M14" s="206">
        <f>IF($T$6="HP",M27-3,29.4)</f>
        <v>29.4</v>
      </c>
      <c r="N14" s="206">
        <f>IF($T$6="HP",N27-3,30.3)</f>
        <v>30.3</v>
      </c>
      <c r="O14" s="206">
        <f>IF($T$6="HP",O27-2,31.1)</f>
        <v>31.1</v>
      </c>
      <c r="P14" s="206">
        <f>IF($T$6="HP",P27-2,31.7)</f>
        <v>31.7</v>
      </c>
      <c r="Q14" s="206">
        <f>IF($T$6="HP",Q27-2,32.1)</f>
        <v>32.1</v>
      </c>
      <c r="R14" s="206">
        <f>IF($T$6="HP",R27-2,32.3)</f>
        <v>32.299999999999997</v>
      </c>
      <c r="S14" s="206">
        <f>IF($T$6="HP",S27-2,32.4)</f>
        <v>32.4</v>
      </c>
      <c r="T14" s="206">
        <f>IF($T$6="HP",T27-2,32.6)</f>
        <v>32.6</v>
      </c>
      <c r="U14" s="206">
        <f>IF($T$6="HP",U27-2,32.5)</f>
        <v>32.5</v>
      </c>
      <c r="V14" s="206">
        <f>IF($T$6="HP",V27-2,32.3)</f>
        <v>32.299999999999997</v>
      </c>
      <c r="W14" s="206">
        <f>IF($T$6="HP",W27-2,31.9)</f>
        <v>31.9</v>
      </c>
      <c r="X14" s="206">
        <f>IF($T$6="HP",X27-2,31.3)</f>
        <v>31.3</v>
      </c>
    </row>
    <row r="15" spans="2:39" s="78" customFormat="1" ht="20" customHeight="1">
      <c r="B15" s="599" t="s">
        <v>453</v>
      </c>
      <c r="C15" s="600" t="s">
        <v>260</v>
      </c>
      <c r="D15" s="206">
        <f>IF($T$6="HP",D28-2,12.3)</f>
        <v>12.3</v>
      </c>
      <c r="E15" s="206">
        <f>IF($T$6="HP",E28-2,13.15)</f>
        <v>13.15</v>
      </c>
      <c r="F15" s="206">
        <f>IF($T$6="HP",F28-2,13.6)</f>
        <v>13.6</v>
      </c>
      <c r="G15" s="206">
        <f>IF($T$6="HP",G28-2,14.15)</f>
        <v>14.15</v>
      </c>
      <c r="H15" s="206">
        <f>IF($T$6="HP",H28-2,14.65)</f>
        <v>14.65</v>
      </c>
      <c r="I15" s="206">
        <f>IF($T$6="HP",I28-2,15.1)</f>
        <v>15.1</v>
      </c>
      <c r="J15" s="206">
        <f>IF($T$6="HP",J28-2,15.35)</f>
        <v>15.35</v>
      </c>
      <c r="K15" s="206">
        <f>IF($T$6="HP",K28-2,15.5)</f>
        <v>15.5</v>
      </c>
      <c r="L15" s="206">
        <f>IF($T$6="HP",L28-2,15.7)</f>
        <v>15.7</v>
      </c>
      <c r="M15" s="206">
        <f>IF($T$6="HP",M28-2,15.945)</f>
        <v>15.945</v>
      </c>
      <c r="N15" s="206">
        <f>IF($T$6="HP",N28-2,16.2)</f>
        <v>16.2</v>
      </c>
      <c r="O15" s="206">
        <f>IF($T$6="HP",O28-2,16.5)</f>
        <v>16.5</v>
      </c>
      <c r="P15" s="206">
        <f>IF($T$6="HP",P28-2,16.6)</f>
        <v>16.600000000000001</v>
      </c>
      <c r="Q15" s="206">
        <f>IF($T$6="HP",Q28-2,16.67)</f>
        <v>16.670000000000002</v>
      </c>
      <c r="R15" s="206">
        <f>IF($T$6="HP",R28-2,16.55)</f>
        <v>16.55</v>
      </c>
      <c r="S15" s="206">
        <f>IF($T$6="HP",S28-2,16.3)</f>
        <v>16.3</v>
      </c>
      <c r="T15" s="206">
        <f>IF($T$6="HP",T28-2,15.85)</f>
        <v>15.85</v>
      </c>
      <c r="U15" s="206">
        <f>IF($T$6="HP",U28-2,15.85)</f>
        <v>15.85</v>
      </c>
      <c r="V15" s="206">
        <f>IF($T$6="HP",V28-2,15)</f>
        <v>15</v>
      </c>
      <c r="W15" s="206">
        <f>IF($T$6="HP",W28-2,13.9)</f>
        <v>13.9</v>
      </c>
      <c r="X15" s="206">
        <f>IF($T$6="HP",X28-2,12.8)</f>
        <v>12.8</v>
      </c>
    </row>
    <row r="16" spans="2:39" s="78" customFormat="1" ht="20" customHeight="1">
      <c r="B16" s="599" t="s">
        <v>14</v>
      </c>
      <c r="C16" s="600" t="s">
        <v>261</v>
      </c>
      <c r="D16" s="206">
        <f>$E$7</f>
        <v>13.4</v>
      </c>
      <c r="E16" s="206">
        <f>$E$7</f>
        <v>13.4</v>
      </c>
      <c r="F16" s="206">
        <f>$E$7</f>
        <v>13.4</v>
      </c>
      <c r="G16" s="206">
        <f>$G$7</f>
        <v>13.2</v>
      </c>
      <c r="H16" s="206">
        <f>$G$7</f>
        <v>13.2</v>
      </c>
      <c r="I16" s="206">
        <f>$G$7</f>
        <v>13.2</v>
      </c>
      <c r="J16" s="206">
        <f>$G$7</f>
        <v>13.2</v>
      </c>
      <c r="K16" s="206">
        <f>$K$7</f>
        <v>13</v>
      </c>
      <c r="L16" s="206">
        <f>$K$7</f>
        <v>13</v>
      </c>
      <c r="M16" s="206">
        <f>$M$7</f>
        <v>13</v>
      </c>
      <c r="N16" s="206">
        <f>$M$7</f>
        <v>13</v>
      </c>
      <c r="O16" s="206">
        <f>$M$7</f>
        <v>13</v>
      </c>
      <c r="P16" s="206">
        <f>$M$7</f>
        <v>13</v>
      </c>
      <c r="Q16" s="206">
        <f>$Q$7</f>
        <v>13</v>
      </c>
      <c r="R16" s="206">
        <f t="shared" ref="R16:X16" si="1">$Q$7</f>
        <v>13</v>
      </c>
      <c r="S16" s="206">
        <f t="shared" si="1"/>
        <v>13</v>
      </c>
      <c r="T16" s="206">
        <f t="shared" si="1"/>
        <v>13</v>
      </c>
      <c r="U16" s="206">
        <f t="shared" si="1"/>
        <v>13</v>
      </c>
      <c r="V16" s="206">
        <f t="shared" si="1"/>
        <v>13</v>
      </c>
      <c r="W16" s="206">
        <f t="shared" si="1"/>
        <v>13</v>
      </c>
      <c r="X16" s="206">
        <f t="shared" si="1"/>
        <v>13</v>
      </c>
    </row>
    <row r="17" spans="2:25" s="78" customFormat="1" ht="20" customHeight="1">
      <c r="B17" s="599" t="s">
        <v>520</v>
      </c>
      <c r="C17" s="600" t="s">
        <v>260</v>
      </c>
      <c r="D17" s="206">
        <v>3.6</v>
      </c>
      <c r="E17" s="206">
        <v>3.8</v>
      </c>
      <c r="F17" s="206">
        <v>4</v>
      </c>
      <c r="G17" s="206">
        <v>4.25</v>
      </c>
      <c r="H17" s="206">
        <v>4.4000000000000004</v>
      </c>
      <c r="I17" s="206">
        <v>4.5999999999999996</v>
      </c>
      <c r="J17" s="206">
        <v>4.7</v>
      </c>
      <c r="K17" s="206">
        <v>4.87</v>
      </c>
      <c r="L17" s="206">
        <v>4.93</v>
      </c>
      <c r="M17" s="206">
        <v>5.0999999999999996</v>
      </c>
      <c r="N17" s="206">
        <v>5.3</v>
      </c>
      <c r="O17" s="206">
        <v>4.9800000000000004</v>
      </c>
      <c r="P17" s="206">
        <v>4.92</v>
      </c>
      <c r="Q17" s="206">
        <v>4.8250000000000002</v>
      </c>
      <c r="R17" s="206">
        <v>4.7</v>
      </c>
      <c r="S17" s="206">
        <v>4.5750000000000002</v>
      </c>
      <c r="T17" s="206">
        <v>4.4249999999999998</v>
      </c>
      <c r="U17" s="206">
        <v>4.2</v>
      </c>
      <c r="V17" s="206">
        <v>4.0999999999999996</v>
      </c>
      <c r="W17" s="206">
        <v>4</v>
      </c>
      <c r="X17" s="206">
        <v>3.7250000000000001</v>
      </c>
    </row>
    <row r="18" spans="2:25" s="78" customFormat="1" ht="20" customHeight="1">
      <c r="B18" s="97" t="s">
        <v>262</v>
      </c>
      <c r="C18" s="98" t="s">
        <v>669</v>
      </c>
      <c r="D18" s="96">
        <f t="shared" ref="D18:X18" si="2">D14/D16</f>
        <v>1.1940298507462686</v>
      </c>
      <c r="E18" s="96">
        <f t="shared" si="2"/>
        <v>1.3358208955223878</v>
      </c>
      <c r="F18" s="96">
        <f t="shared" si="2"/>
        <v>1.4701492537313432</v>
      </c>
      <c r="G18" s="96">
        <f t="shared" si="2"/>
        <v>1.6287878787878789</v>
      </c>
      <c r="H18" s="96">
        <f t="shared" si="2"/>
        <v>1.7500000000000002</v>
      </c>
      <c r="I18" s="96">
        <f t="shared" si="2"/>
        <v>1.8636363636363638</v>
      </c>
      <c r="J18" s="96">
        <f t="shared" si="2"/>
        <v>1.9696969696969697</v>
      </c>
      <c r="K18" s="96">
        <f t="shared" si="2"/>
        <v>2.1</v>
      </c>
      <c r="L18" s="96">
        <f t="shared" si="2"/>
        <v>2.1846153846153844</v>
      </c>
      <c r="M18" s="96">
        <f t="shared" si="2"/>
        <v>2.2615384615384615</v>
      </c>
      <c r="N18" s="96">
        <f t="shared" si="2"/>
        <v>2.3307692307692309</v>
      </c>
      <c r="O18" s="96">
        <f t="shared" si="2"/>
        <v>2.3923076923076922</v>
      </c>
      <c r="P18" s="96">
        <f t="shared" si="2"/>
        <v>2.4384615384615382</v>
      </c>
      <c r="Q18" s="96">
        <f t="shared" si="2"/>
        <v>2.4692307692307693</v>
      </c>
      <c r="R18" s="96">
        <f t="shared" si="2"/>
        <v>2.4846153846153842</v>
      </c>
      <c r="S18" s="96">
        <f t="shared" si="2"/>
        <v>2.4923076923076923</v>
      </c>
      <c r="T18" s="96">
        <f t="shared" si="2"/>
        <v>2.5076923076923077</v>
      </c>
      <c r="U18" s="96">
        <f t="shared" si="2"/>
        <v>2.5</v>
      </c>
      <c r="V18" s="96">
        <f t="shared" si="2"/>
        <v>2.4846153846153842</v>
      </c>
      <c r="W18" s="96">
        <f t="shared" si="2"/>
        <v>2.4538461538461536</v>
      </c>
      <c r="X18" s="96">
        <f t="shared" si="2"/>
        <v>2.4076923076923076</v>
      </c>
      <c r="Y18" s="1801" t="s">
        <v>785</v>
      </c>
    </row>
    <row r="19" spans="2:25" s="78" customFormat="1" ht="20" customHeight="1">
      <c r="B19" s="599" t="s">
        <v>520</v>
      </c>
      <c r="C19" s="600" t="s">
        <v>263</v>
      </c>
      <c r="D19" s="206">
        <f>D17/D18</f>
        <v>3.0150000000000001</v>
      </c>
      <c r="E19" s="206">
        <f t="shared" ref="E19:X19" si="3">E17/E18</f>
        <v>2.8446927374301678</v>
      </c>
      <c r="F19" s="206">
        <f t="shared" si="3"/>
        <v>2.7208121827411169</v>
      </c>
      <c r="G19" s="206">
        <f t="shared" si="3"/>
        <v>2.6093023255813952</v>
      </c>
      <c r="H19" s="206">
        <f t="shared" si="3"/>
        <v>2.5142857142857142</v>
      </c>
      <c r="I19" s="206">
        <f t="shared" si="3"/>
        <v>2.4682926829268288</v>
      </c>
      <c r="J19" s="206">
        <f t="shared" si="3"/>
        <v>2.3861538461538463</v>
      </c>
      <c r="K19" s="206">
        <f t="shared" si="3"/>
        <v>2.3190476190476188</v>
      </c>
      <c r="L19" s="206">
        <f t="shared" si="3"/>
        <v>2.2566901408450706</v>
      </c>
      <c r="M19" s="206">
        <f t="shared" si="3"/>
        <v>2.2551020408163263</v>
      </c>
      <c r="N19" s="206">
        <f t="shared" si="3"/>
        <v>2.2739273927392736</v>
      </c>
      <c r="O19" s="206">
        <f t="shared" si="3"/>
        <v>2.0816720257234729</v>
      </c>
      <c r="P19" s="206">
        <f t="shared" si="3"/>
        <v>2.0176656151419561</v>
      </c>
      <c r="Q19" s="206">
        <f t="shared" si="3"/>
        <v>1.9540498442367602</v>
      </c>
      <c r="R19" s="206">
        <f t="shared" si="3"/>
        <v>1.8916408668730653</v>
      </c>
      <c r="S19" s="206">
        <f t="shared" si="3"/>
        <v>1.8356481481481481</v>
      </c>
      <c r="T19" s="206">
        <f t="shared" si="3"/>
        <v>1.7645705521472392</v>
      </c>
      <c r="U19" s="206">
        <f t="shared" si="3"/>
        <v>1.6800000000000002</v>
      </c>
      <c r="V19" s="206">
        <f t="shared" si="3"/>
        <v>1.6501547987616101</v>
      </c>
      <c r="W19" s="206">
        <f t="shared" si="3"/>
        <v>1.6300940438871476</v>
      </c>
      <c r="X19" s="206">
        <f t="shared" si="3"/>
        <v>1.5471246006389778</v>
      </c>
      <c r="Y19" s="1802"/>
    </row>
    <row r="20" spans="2:25" s="78" customFormat="1" ht="20" customHeight="1" thickBot="1">
      <c r="B20" s="599" t="s">
        <v>453</v>
      </c>
      <c r="C20" s="600" t="s">
        <v>263</v>
      </c>
      <c r="D20" s="206">
        <f>D15/D18</f>
        <v>10.301250000000001</v>
      </c>
      <c r="E20" s="206">
        <f t="shared" ref="E20:X20" si="4">E15/E18</f>
        <v>9.8441340782122921</v>
      </c>
      <c r="F20" s="206">
        <f t="shared" si="4"/>
        <v>9.2507614213197975</v>
      </c>
      <c r="G20" s="206">
        <f t="shared" si="4"/>
        <v>8.6874418604651158</v>
      </c>
      <c r="H20" s="206">
        <f t="shared" si="4"/>
        <v>8.3714285714285701</v>
      </c>
      <c r="I20" s="206">
        <f t="shared" si="4"/>
        <v>8.1024390243902431</v>
      </c>
      <c r="J20" s="206">
        <f t="shared" si="4"/>
        <v>7.7930769230769226</v>
      </c>
      <c r="K20" s="206">
        <f t="shared" si="4"/>
        <v>7.3809523809523805</v>
      </c>
      <c r="L20" s="206">
        <f t="shared" si="4"/>
        <v>7.1866197183098599</v>
      </c>
      <c r="M20" s="206">
        <f t="shared" si="4"/>
        <v>7.0505102040816325</v>
      </c>
      <c r="N20" s="206">
        <f t="shared" si="4"/>
        <v>6.9504950495049496</v>
      </c>
      <c r="O20" s="206">
        <f t="shared" si="4"/>
        <v>6.897106109324759</v>
      </c>
      <c r="P20" s="206">
        <f t="shared" si="4"/>
        <v>6.8075709779179823</v>
      </c>
      <c r="Q20" s="206">
        <f t="shared" si="4"/>
        <v>6.7510903426791282</v>
      </c>
      <c r="R20" s="206">
        <f t="shared" si="4"/>
        <v>6.6609907120743044</v>
      </c>
      <c r="S20" s="206">
        <f t="shared" si="4"/>
        <v>6.5401234567901234</v>
      </c>
      <c r="T20" s="206">
        <f t="shared" si="4"/>
        <v>6.3205521472392636</v>
      </c>
      <c r="U20" s="206">
        <f t="shared" si="4"/>
        <v>6.34</v>
      </c>
      <c r="V20" s="206">
        <f t="shared" si="4"/>
        <v>6.037151702786379</v>
      </c>
      <c r="W20" s="206">
        <f t="shared" si="4"/>
        <v>5.6645768025078373</v>
      </c>
      <c r="X20" s="206">
        <f t="shared" si="4"/>
        <v>5.3162939297124607</v>
      </c>
      <c r="Y20" s="1803"/>
    </row>
    <row r="21" spans="2:25" s="75" customFormat="1" ht="20" customHeight="1" thickBot="1">
      <c r="B21" s="97" t="s">
        <v>471</v>
      </c>
      <c r="C21" s="98" t="s">
        <v>472</v>
      </c>
      <c r="D21" s="595">
        <f>D18/(D12/1000)</f>
        <v>1.9352185587459783</v>
      </c>
      <c r="E21" s="595">
        <f t="shared" ref="E21:X21" si="5">E18/(E12/1000)</f>
        <v>2.0239710538217994</v>
      </c>
      <c r="F21" s="595">
        <f t="shared" si="5"/>
        <v>2.109252874793893</v>
      </c>
      <c r="G21" s="595">
        <f t="shared" si="5"/>
        <v>2.2312162723121629</v>
      </c>
      <c r="H21" s="595">
        <f t="shared" si="5"/>
        <v>2.3087071240105543</v>
      </c>
      <c r="I21" s="595">
        <f t="shared" si="5"/>
        <v>2.386218135257828</v>
      </c>
      <c r="J21" s="595">
        <f t="shared" si="5"/>
        <v>2.4652027155156064</v>
      </c>
      <c r="K21" s="595">
        <f t="shared" si="5"/>
        <v>2.5862068965517242</v>
      </c>
      <c r="L21" s="595">
        <f t="shared" si="5"/>
        <v>2.6641651031894935</v>
      </c>
      <c r="M21" s="595">
        <f t="shared" si="5"/>
        <v>2.7479203663893821</v>
      </c>
      <c r="N21" s="595">
        <f t="shared" si="5"/>
        <v>2.8389393797432776</v>
      </c>
      <c r="O21" s="595">
        <f t="shared" si="5"/>
        <v>2.938952938952939</v>
      </c>
      <c r="P21" s="595">
        <f t="shared" si="5"/>
        <v>3.0404757337425661</v>
      </c>
      <c r="Q21" s="595">
        <f t="shared" si="5"/>
        <v>3.1455169034786867</v>
      </c>
      <c r="R21" s="595">
        <f t="shared" si="5"/>
        <v>3.2606501110438111</v>
      </c>
      <c r="S21" s="595">
        <f t="shared" si="5"/>
        <v>3.390894819466248</v>
      </c>
      <c r="T21" s="595">
        <f t="shared" si="5"/>
        <v>3.5671298829193567</v>
      </c>
      <c r="U21" s="595">
        <f t="shared" si="5"/>
        <v>3.7537537537537538</v>
      </c>
      <c r="V21" s="595">
        <f t="shared" si="5"/>
        <v>3.9817554240631159</v>
      </c>
      <c r="W21" s="595">
        <f t="shared" si="5"/>
        <v>4.2527662978269563</v>
      </c>
      <c r="X21" s="595">
        <f t="shared" si="5"/>
        <v>4.5860805860805858</v>
      </c>
      <c r="Y21" s="596">
        <f>Y22/90</f>
        <v>2.8578294160559001</v>
      </c>
    </row>
    <row r="22" spans="2:25" s="75" customFormat="1" ht="20" customHeight="1" thickBot="1">
      <c r="B22" s="97" t="s">
        <v>521</v>
      </c>
      <c r="C22" s="98" t="s">
        <v>666</v>
      </c>
      <c r="D22" s="595">
        <f>D18*5/(D12/1000)</f>
        <v>9.6760927937298913</v>
      </c>
      <c r="E22" s="595">
        <f t="shared" ref="E22:X22" si="6">E18*5/(E12/1000)</f>
        <v>10.119855269108998</v>
      </c>
      <c r="F22" s="595">
        <f t="shared" si="6"/>
        <v>10.546264373969464</v>
      </c>
      <c r="G22" s="595">
        <f t="shared" si="6"/>
        <v>11.156081361560815</v>
      </c>
      <c r="H22" s="595">
        <f t="shared" si="6"/>
        <v>11.543535620052772</v>
      </c>
      <c r="I22" s="595">
        <f t="shared" si="6"/>
        <v>11.93109067628914</v>
      </c>
      <c r="J22" s="595">
        <f t="shared" si="6"/>
        <v>12.326013577578031</v>
      </c>
      <c r="K22" s="595">
        <f t="shared" si="6"/>
        <v>12.931034482758619</v>
      </c>
      <c r="L22" s="595">
        <f t="shared" si="6"/>
        <v>13.320825515947465</v>
      </c>
      <c r="M22" s="595">
        <f t="shared" si="6"/>
        <v>13.73960183194691</v>
      </c>
      <c r="N22" s="595">
        <f t="shared" si="6"/>
        <v>14.194696898716389</v>
      </c>
      <c r="O22" s="595">
        <f t="shared" si="6"/>
        <v>14.694764694764697</v>
      </c>
      <c r="P22" s="595">
        <f t="shared" si="6"/>
        <v>15.202378668712832</v>
      </c>
      <c r="Q22" s="595">
        <f t="shared" si="6"/>
        <v>15.727584517393435</v>
      </c>
      <c r="R22" s="595">
        <f t="shared" si="6"/>
        <v>16.303250555219059</v>
      </c>
      <c r="S22" s="595">
        <f t="shared" si="6"/>
        <v>16.954474097331239</v>
      </c>
      <c r="T22" s="595">
        <f t="shared" si="6"/>
        <v>17.835649414596784</v>
      </c>
      <c r="U22" s="595">
        <f t="shared" si="6"/>
        <v>18.768768768768769</v>
      </c>
      <c r="V22" s="595">
        <f t="shared" si="6"/>
        <v>19.90877712031558</v>
      </c>
      <c r="W22" s="595">
        <f t="shared" si="6"/>
        <v>21.26383148913478</v>
      </c>
      <c r="X22" s="595">
        <f t="shared" si="6"/>
        <v>22.930402930402931</v>
      </c>
      <c r="Y22" s="597">
        <f>SUM(E22:V22)</f>
        <v>257.20464744503101</v>
      </c>
    </row>
    <row r="23" spans="2:25" s="365" customFormat="1" ht="20" customHeight="1"/>
    <row r="24" spans="2:25" s="365" customFormat="1" ht="20" customHeight="1">
      <c r="B24" s="72" t="s">
        <v>256</v>
      </c>
      <c r="C24" s="73" t="s">
        <v>257</v>
      </c>
      <c r="D24" s="1253">
        <v>25</v>
      </c>
      <c r="E24" s="74">
        <v>30</v>
      </c>
      <c r="F24" s="74">
        <v>35</v>
      </c>
      <c r="G24" s="74">
        <v>40</v>
      </c>
      <c r="H24" s="74">
        <v>45</v>
      </c>
      <c r="I24" s="74">
        <v>50</v>
      </c>
      <c r="J24" s="74">
        <v>55</v>
      </c>
      <c r="K24" s="74">
        <v>60</v>
      </c>
      <c r="L24" s="74">
        <v>65</v>
      </c>
      <c r="M24" s="74">
        <v>70</v>
      </c>
      <c r="N24" s="74">
        <v>75</v>
      </c>
      <c r="O24" s="74">
        <v>80</v>
      </c>
      <c r="P24" s="74">
        <v>85</v>
      </c>
      <c r="Q24" s="74">
        <v>90</v>
      </c>
      <c r="R24" s="74">
        <v>95</v>
      </c>
      <c r="S24" s="74">
        <v>100</v>
      </c>
      <c r="T24" s="74">
        <v>105</v>
      </c>
      <c r="U24" s="74">
        <v>110</v>
      </c>
      <c r="V24" s="74">
        <v>115</v>
      </c>
      <c r="W24" s="74">
        <v>120</v>
      </c>
      <c r="X24" s="1253">
        <v>125</v>
      </c>
      <c r="Y24" s="1801" t="s">
        <v>784</v>
      </c>
    </row>
    <row r="25" spans="2:25" s="365" customFormat="1" ht="20" customHeight="1" thickBot="1">
      <c r="B25" s="76" t="s">
        <v>258</v>
      </c>
      <c r="C25" s="598">
        <f>ROUND(AVERAGE(E25:W25),-1)</f>
        <v>850</v>
      </c>
      <c r="D25" s="1254">
        <v>717</v>
      </c>
      <c r="E25" s="77">
        <v>760</v>
      </c>
      <c r="F25" s="77">
        <v>797</v>
      </c>
      <c r="G25" s="77">
        <v>830</v>
      </c>
      <c r="H25" s="77">
        <v>858</v>
      </c>
      <c r="I25" s="77">
        <v>881</v>
      </c>
      <c r="J25" s="77">
        <v>899</v>
      </c>
      <c r="K25" s="77">
        <v>912</v>
      </c>
      <c r="L25" s="77">
        <v>920</v>
      </c>
      <c r="M25" s="77">
        <v>923</v>
      </c>
      <c r="N25" s="77">
        <v>921</v>
      </c>
      <c r="O25" s="77">
        <v>914</v>
      </c>
      <c r="P25" s="77">
        <v>902</v>
      </c>
      <c r="Q25" s="77">
        <v>885</v>
      </c>
      <c r="R25" s="77">
        <v>862</v>
      </c>
      <c r="S25" s="77">
        <v>835</v>
      </c>
      <c r="T25" s="77">
        <v>803</v>
      </c>
      <c r="U25" s="77">
        <v>766</v>
      </c>
      <c r="V25" s="77">
        <v>724</v>
      </c>
      <c r="W25" s="77">
        <v>677</v>
      </c>
      <c r="X25" s="1254">
        <v>625</v>
      </c>
      <c r="Y25" s="1807"/>
    </row>
    <row r="26" spans="2:25" s="365" customFormat="1" ht="20" customHeight="1" thickBot="1">
      <c r="B26" s="76"/>
      <c r="C26" s="1252" t="s">
        <v>783</v>
      </c>
      <c r="D26" s="1256">
        <f t="shared" ref="D26:X26" si="7">5/D25*1000</f>
        <v>6.9735006973500697</v>
      </c>
      <c r="E26" s="1257">
        <f t="shared" si="7"/>
        <v>6.5789473684210522</v>
      </c>
      <c r="F26" s="1257">
        <f t="shared" si="7"/>
        <v>6.2735257214554583</v>
      </c>
      <c r="G26" s="1257">
        <f t="shared" si="7"/>
        <v>6.024096385542169</v>
      </c>
      <c r="H26" s="1257">
        <f t="shared" si="7"/>
        <v>5.8275058275058278</v>
      </c>
      <c r="I26" s="1257">
        <f t="shared" si="7"/>
        <v>5.6753688989784337</v>
      </c>
      <c r="J26" s="1257">
        <f t="shared" si="7"/>
        <v>5.5617352614015578</v>
      </c>
      <c r="K26" s="1257">
        <f t="shared" si="7"/>
        <v>5.4824561403508767</v>
      </c>
      <c r="L26" s="1257">
        <f t="shared" si="7"/>
        <v>5.4347826086956523</v>
      </c>
      <c r="M26" s="1257">
        <f t="shared" si="7"/>
        <v>5.4171180931744312</v>
      </c>
      <c r="N26" s="1257">
        <f t="shared" si="7"/>
        <v>5.4288816503800215</v>
      </c>
      <c r="O26" s="1257">
        <f t="shared" si="7"/>
        <v>5.4704595185995624</v>
      </c>
      <c r="P26" s="1257">
        <f t="shared" si="7"/>
        <v>5.5432372505543244</v>
      </c>
      <c r="Q26" s="1257">
        <f t="shared" si="7"/>
        <v>5.6497175141242941</v>
      </c>
      <c r="R26" s="1257">
        <f t="shared" si="7"/>
        <v>5.8004640371229694</v>
      </c>
      <c r="S26" s="1257">
        <f t="shared" si="7"/>
        <v>5.9880239520958085</v>
      </c>
      <c r="T26" s="1257">
        <f t="shared" si="7"/>
        <v>6.2266500622665006</v>
      </c>
      <c r="U26" s="1257">
        <f t="shared" si="7"/>
        <v>6.5274151436031325</v>
      </c>
      <c r="V26" s="1257">
        <f t="shared" si="7"/>
        <v>6.9060773480662982</v>
      </c>
      <c r="W26" s="1258">
        <f t="shared" si="7"/>
        <v>7.385524372230428</v>
      </c>
      <c r="X26" s="1259">
        <f t="shared" si="7"/>
        <v>8</v>
      </c>
      <c r="Y26" s="1255">
        <f>ROUND(SUM(E26:V26),0)</f>
        <v>106</v>
      </c>
    </row>
    <row r="27" spans="2:25" s="365" customFormat="1" ht="20" customHeight="1">
      <c r="B27" s="599" t="s">
        <v>14</v>
      </c>
      <c r="C27" s="600" t="s">
        <v>259</v>
      </c>
      <c r="D27" s="206">
        <v>17.5</v>
      </c>
      <c r="E27" s="206">
        <v>19.600000000000001</v>
      </c>
      <c r="F27" s="206">
        <v>21.5</v>
      </c>
      <c r="G27" s="206">
        <v>23.2</v>
      </c>
      <c r="H27" s="206">
        <v>24.9</v>
      </c>
      <c r="I27" s="206">
        <v>26.5</v>
      </c>
      <c r="J27" s="206">
        <v>27.9</v>
      </c>
      <c r="K27" s="206">
        <v>29.3</v>
      </c>
      <c r="L27" s="206">
        <v>30.5</v>
      </c>
      <c r="M27" s="206">
        <f>IF($T$6="HP",31.46,31.6)</f>
        <v>31.6</v>
      </c>
      <c r="N27" s="206">
        <f>IF($T$6="HP",31.42,32.5)</f>
        <v>32.5</v>
      </c>
      <c r="O27" s="206">
        <f>IF($T$6="HP",32.28,33.3)</f>
        <v>33.299999999999997</v>
      </c>
      <c r="P27" s="206">
        <f>IF($T$6="HP",33,34)</f>
        <v>34</v>
      </c>
      <c r="Q27" s="206">
        <f>IF($T$6="HP",32.7,34.5)</f>
        <v>34.5</v>
      </c>
      <c r="R27" s="206">
        <f>IF($T$6="HP",32.2,34.8)</f>
        <v>34.799999999999997</v>
      </c>
      <c r="S27" s="206">
        <f>IF($T$6="HP",32.7,35)</f>
        <v>35</v>
      </c>
      <c r="T27" s="206">
        <f>IF($T$6="HP",32,35.1)</f>
        <v>35.1</v>
      </c>
      <c r="U27" s="206">
        <f>IF($T$6="HP",31.32,35.2)</f>
        <v>35.200000000000003</v>
      </c>
      <c r="V27" s="206">
        <f>IF($T$6="HP",30.54,35)</f>
        <v>35</v>
      </c>
      <c r="W27" s="206">
        <f>IF($T$6="HP",30.54,34.7)</f>
        <v>34.700000000000003</v>
      </c>
      <c r="X27" s="206">
        <f>IF($T$6="HP",29.5,34.1)</f>
        <v>34.1</v>
      </c>
      <c r="Y27" s="78"/>
    </row>
    <row r="28" spans="2:25" s="365" customFormat="1" ht="20" customHeight="1">
      <c r="B28" s="599" t="s">
        <v>453</v>
      </c>
      <c r="C28" s="600" t="s">
        <v>260</v>
      </c>
      <c r="D28" s="206">
        <f>IF($T$6="HP",14.7-0.4,14.1)</f>
        <v>14.1</v>
      </c>
      <c r="E28" s="206">
        <f>IF($T$6="HP",15.7-0.4,14.9)</f>
        <v>14.9</v>
      </c>
      <c r="F28" s="206">
        <f>IF($T$6="HP",16.4-0.4,15.4)</f>
        <v>15.4</v>
      </c>
      <c r="G28" s="206">
        <f>IF($T$6="HP",17-0.45,15.7)</f>
        <v>15.7</v>
      </c>
      <c r="H28" s="206">
        <f>IF($T$6="HP",17.2-0.45,16.2)</f>
        <v>16.2</v>
      </c>
      <c r="I28" s="206">
        <f>IF($T$6="HP",18.2-0.55,16.85)</f>
        <v>16.850000000000001</v>
      </c>
      <c r="J28" s="206">
        <f>IF($T$6="HP",18.6-0.55,17.1)</f>
        <v>17.100000000000001</v>
      </c>
      <c r="K28" s="206">
        <f>IF($T$6="HP",18.8-0.55,17.25)</f>
        <v>17.25</v>
      </c>
      <c r="L28" s="206">
        <f>IF($T$6="HP",19.1-0.55,17.6)</f>
        <v>17.600000000000001</v>
      </c>
      <c r="M28" s="206">
        <f>IF($T$6="HP",19.2-0.55,17.7)</f>
        <v>17.7</v>
      </c>
      <c r="N28" s="206">
        <f>IF($T$6="HP",19.2-0.55,17.9)</f>
        <v>17.899999999999999</v>
      </c>
      <c r="O28" s="206">
        <f>IF($T$6="HP",19.2-0.55,18.15)</f>
        <v>18.149999999999999</v>
      </c>
      <c r="P28" s="206">
        <f>IF($T$6="HP",18.9-0.55,18.2)</f>
        <v>18.2</v>
      </c>
      <c r="Q28" s="206">
        <f>IF($T$6="HP",18.7-0.55,18.2)</f>
        <v>18.2</v>
      </c>
      <c r="R28" s="206">
        <f>IF($T$6="HP",18.2-0.55,18.4)</f>
        <v>18.399999999999999</v>
      </c>
      <c r="S28" s="206">
        <f>IF($T$6="HP",17.8-0.5,18.5)</f>
        <v>18.5</v>
      </c>
      <c r="T28" s="206">
        <f>IF($T$6="HP",17.1-0.5,18.5)</f>
        <v>18.5</v>
      </c>
      <c r="U28" s="206">
        <f>IF($T$6="HP",16.5-0.5,18.3)</f>
        <v>18.3</v>
      </c>
      <c r="V28" s="206">
        <f>IF($T$6="HP",15.7-0.5,17.5)</f>
        <v>17.5</v>
      </c>
      <c r="W28" s="206">
        <f>IF($T$6="HP",14.8-0.5,16.25)</f>
        <v>16.25</v>
      </c>
      <c r="X28" s="206">
        <f>IF($T$6="HP",13.8-0.5,15.3)</f>
        <v>15.3</v>
      </c>
      <c r="Y28" s="78"/>
    </row>
    <row r="29" spans="2:25" s="365" customFormat="1" ht="20" customHeight="1">
      <c r="B29" s="599" t="s">
        <v>14</v>
      </c>
      <c r="C29" s="600" t="s">
        <v>261</v>
      </c>
      <c r="D29" s="206">
        <f>$E$7</f>
        <v>13.4</v>
      </c>
      <c r="E29" s="206">
        <f>$E$7</f>
        <v>13.4</v>
      </c>
      <c r="F29" s="206">
        <f>$E$7</f>
        <v>13.4</v>
      </c>
      <c r="G29" s="206">
        <f>$G$7</f>
        <v>13.2</v>
      </c>
      <c r="H29" s="206">
        <f>$G$7</f>
        <v>13.2</v>
      </c>
      <c r="I29" s="206">
        <f>$G$7</f>
        <v>13.2</v>
      </c>
      <c r="J29" s="206">
        <f>$G$7</f>
        <v>13.2</v>
      </c>
      <c r="K29" s="206">
        <f>$K$7</f>
        <v>13</v>
      </c>
      <c r="L29" s="206">
        <f>$K$7</f>
        <v>13</v>
      </c>
      <c r="M29" s="206">
        <f>$M$7</f>
        <v>13</v>
      </c>
      <c r="N29" s="206">
        <f>$M$7</f>
        <v>13</v>
      </c>
      <c r="O29" s="206">
        <f>$M$7</f>
        <v>13</v>
      </c>
      <c r="P29" s="206">
        <f>$M$7</f>
        <v>13</v>
      </c>
      <c r="Q29" s="206">
        <f>$Q$7</f>
        <v>13</v>
      </c>
      <c r="R29" s="206">
        <f t="shared" ref="R29:X29" si="8">$Q$7</f>
        <v>13</v>
      </c>
      <c r="S29" s="206">
        <f t="shared" si="8"/>
        <v>13</v>
      </c>
      <c r="T29" s="206">
        <f t="shared" si="8"/>
        <v>13</v>
      </c>
      <c r="U29" s="206">
        <f t="shared" si="8"/>
        <v>13</v>
      </c>
      <c r="V29" s="206">
        <f t="shared" si="8"/>
        <v>13</v>
      </c>
      <c r="W29" s="206">
        <f t="shared" si="8"/>
        <v>13</v>
      </c>
      <c r="X29" s="206">
        <f t="shared" si="8"/>
        <v>13</v>
      </c>
      <c r="Y29" s="78"/>
    </row>
    <row r="30" spans="2:25" s="365" customFormat="1" ht="20" customHeight="1">
      <c r="B30" s="599" t="s">
        <v>520</v>
      </c>
      <c r="C30" s="600" t="s">
        <v>260</v>
      </c>
      <c r="D30" s="206">
        <v>4.0999999999999996</v>
      </c>
      <c r="E30" s="206">
        <v>4.375</v>
      </c>
      <c r="F30" s="206">
        <v>4.5</v>
      </c>
      <c r="G30" s="206">
        <v>4.75</v>
      </c>
      <c r="H30" s="206">
        <v>4.875</v>
      </c>
      <c r="I30" s="206">
        <v>5.15</v>
      </c>
      <c r="J30" s="206">
        <v>5.3</v>
      </c>
      <c r="K30" s="206">
        <v>5.45</v>
      </c>
      <c r="L30" s="206">
        <v>5.5</v>
      </c>
      <c r="M30" s="206">
        <v>5.6</v>
      </c>
      <c r="N30" s="206">
        <v>5.5</v>
      </c>
      <c r="O30" s="206">
        <v>5.5250000000000004</v>
      </c>
      <c r="P30" s="206">
        <v>5.5</v>
      </c>
      <c r="Q30" s="206">
        <v>5.4</v>
      </c>
      <c r="R30" s="206">
        <v>5.27</v>
      </c>
      <c r="S30" s="206">
        <v>5.0999999999999996</v>
      </c>
      <c r="T30" s="206">
        <v>4.9000000000000004</v>
      </c>
      <c r="U30" s="206">
        <v>4.78</v>
      </c>
      <c r="V30" s="206">
        <v>4.5999999999999996</v>
      </c>
      <c r="W30" s="206">
        <v>4.4749999999999996</v>
      </c>
      <c r="X30" s="206">
        <v>4.2</v>
      </c>
      <c r="Y30" s="78"/>
    </row>
    <row r="31" spans="2:25" s="365" customFormat="1" ht="20" customHeight="1">
      <c r="B31" s="97" t="s">
        <v>262</v>
      </c>
      <c r="C31" s="98" t="s">
        <v>669</v>
      </c>
      <c r="D31" s="96">
        <f t="shared" ref="D31:X31" si="9">D27/D29</f>
        <v>1.3059701492537312</v>
      </c>
      <c r="E31" s="96">
        <f t="shared" si="9"/>
        <v>1.4626865671641791</v>
      </c>
      <c r="F31" s="96">
        <f t="shared" si="9"/>
        <v>1.6044776119402984</v>
      </c>
      <c r="G31" s="96">
        <f t="shared" si="9"/>
        <v>1.7575757575757576</v>
      </c>
      <c r="H31" s="96">
        <f t="shared" si="9"/>
        <v>1.8863636363636365</v>
      </c>
      <c r="I31" s="96">
        <f t="shared" si="9"/>
        <v>2.0075757575757578</v>
      </c>
      <c r="J31" s="96">
        <f t="shared" si="9"/>
        <v>2.1136363636363638</v>
      </c>
      <c r="K31" s="96">
        <f t="shared" si="9"/>
        <v>2.2538461538461538</v>
      </c>
      <c r="L31" s="96">
        <f t="shared" si="9"/>
        <v>2.3461538461538463</v>
      </c>
      <c r="M31" s="96">
        <f t="shared" si="9"/>
        <v>2.430769230769231</v>
      </c>
      <c r="N31" s="96">
        <f t="shared" si="9"/>
        <v>2.5</v>
      </c>
      <c r="O31" s="96">
        <f t="shared" si="9"/>
        <v>2.5615384615384613</v>
      </c>
      <c r="P31" s="96">
        <f t="shared" si="9"/>
        <v>2.6153846153846154</v>
      </c>
      <c r="Q31" s="96">
        <f t="shared" si="9"/>
        <v>2.6538461538461537</v>
      </c>
      <c r="R31" s="96">
        <f t="shared" si="9"/>
        <v>2.6769230769230767</v>
      </c>
      <c r="S31" s="96">
        <f t="shared" si="9"/>
        <v>2.6923076923076925</v>
      </c>
      <c r="T31" s="96">
        <f t="shared" si="9"/>
        <v>2.7</v>
      </c>
      <c r="U31" s="96">
        <f t="shared" si="9"/>
        <v>2.7076923076923078</v>
      </c>
      <c r="V31" s="96">
        <f t="shared" si="9"/>
        <v>2.6923076923076925</v>
      </c>
      <c r="W31" s="96">
        <f t="shared" si="9"/>
        <v>2.6692307692307695</v>
      </c>
      <c r="X31" s="96">
        <f t="shared" si="9"/>
        <v>2.6230769230769231</v>
      </c>
      <c r="Y31" s="1801" t="s">
        <v>785</v>
      </c>
    </row>
    <row r="32" spans="2:25" s="365" customFormat="1" ht="20" customHeight="1">
      <c r="B32" s="599" t="s">
        <v>520</v>
      </c>
      <c r="C32" s="600" t="s">
        <v>263</v>
      </c>
      <c r="D32" s="206">
        <f t="shared" ref="D32:X32" si="10">D30/D31</f>
        <v>3.1394285714285712</v>
      </c>
      <c r="E32" s="206">
        <f t="shared" si="10"/>
        <v>2.9910714285714284</v>
      </c>
      <c r="F32" s="206">
        <f t="shared" si="10"/>
        <v>2.804651162790698</v>
      </c>
      <c r="G32" s="206">
        <f t="shared" si="10"/>
        <v>2.7025862068965516</v>
      </c>
      <c r="H32" s="206">
        <f t="shared" si="10"/>
        <v>2.5843373493975901</v>
      </c>
      <c r="I32" s="206">
        <f t="shared" si="10"/>
        <v>2.5652830188679245</v>
      </c>
      <c r="J32" s="206">
        <f t="shared" si="10"/>
        <v>2.5075268817204299</v>
      </c>
      <c r="K32" s="206">
        <f t="shared" si="10"/>
        <v>2.4180887372013653</v>
      </c>
      <c r="L32" s="206">
        <f t="shared" si="10"/>
        <v>2.3442622950819669</v>
      </c>
      <c r="M32" s="206">
        <f t="shared" si="10"/>
        <v>2.3037974683544302</v>
      </c>
      <c r="N32" s="206">
        <f t="shared" si="10"/>
        <v>2.2000000000000002</v>
      </c>
      <c r="O32" s="206">
        <f t="shared" si="10"/>
        <v>2.1569069069069071</v>
      </c>
      <c r="P32" s="206">
        <f t="shared" si="10"/>
        <v>2.1029411764705883</v>
      </c>
      <c r="Q32" s="206">
        <f t="shared" si="10"/>
        <v>2.0347826086956524</v>
      </c>
      <c r="R32" s="206">
        <f t="shared" si="10"/>
        <v>1.9686781609195403</v>
      </c>
      <c r="S32" s="206">
        <f t="shared" si="10"/>
        <v>1.8942857142857139</v>
      </c>
      <c r="T32" s="206">
        <f t="shared" si="10"/>
        <v>1.8148148148148149</v>
      </c>
      <c r="U32" s="206">
        <f t="shared" si="10"/>
        <v>1.7653409090909091</v>
      </c>
      <c r="V32" s="206">
        <f t="shared" si="10"/>
        <v>1.7085714285714284</v>
      </c>
      <c r="W32" s="206">
        <f t="shared" si="10"/>
        <v>1.6765129682997115</v>
      </c>
      <c r="X32" s="206">
        <f t="shared" si="10"/>
        <v>1.6011730205278594</v>
      </c>
      <c r="Y32" s="1802"/>
    </row>
    <row r="33" spans="2:25" s="365" customFormat="1" ht="20" customHeight="1" thickBot="1">
      <c r="B33" s="599" t="s">
        <v>453</v>
      </c>
      <c r="C33" s="600" t="s">
        <v>263</v>
      </c>
      <c r="D33" s="206">
        <f>D28/D31</f>
        <v>10.796571428571429</v>
      </c>
      <c r="E33" s="206">
        <f t="shared" ref="E33:X33" si="11">E28/E31</f>
        <v>10.18673469387755</v>
      </c>
      <c r="F33" s="206">
        <f t="shared" si="11"/>
        <v>9.5981395348837228</v>
      </c>
      <c r="G33" s="206">
        <f t="shared" si="11"/>
        <v>8.9327586206896541</v>
      </c>
      <c r="H33" s="206">
        <f t="shared" si="11"/>
        <v>8.5879518072289152</v>
      </c>
      <c r="I33" s="206">
        <f t="shared" si="11"/>
        <v>8.393207547169812</v>
      </c>
      <c r="J33" s="206">
        <f t="shared" si="11"/>
        <v>8.0903225806451609</v>
      </c>
      <c r="K33" s="206">
        <f t="shared" si="11"/>
        <v>7.6535836177474401</v>
      </c>
      <c r="L33" s="206">
        <f t="shared" si="11"/>
        <v>7.5016393442622951</v>
      </c>
      <c r="M33" s="206">
        <f t="shared" si="11"/>
        <v>7.2816455696202524</v>
      </c>
      <c r="N33" s="206">
        <f t="shared" si="11"/>
        <v>7.1599999999999993</v>
      </c>
      <c r="O33" s="206">
        <f t="shared" si="11"/>
        <v>7.0855855855855854</v>
      </c>
      <c r="P33" s="206">
        <f t="shared" si="11"/>
        <v>6.958823529411764</v>
      </c>
      <c r="Q33" s="206">
        <f t="shared" si="11"/>
        <v>6.8579710144927537</v>
      </c>
      <c r="R33" s="206">
        <f t="shared" si="11"/>
        <v>6.8735632183908049</v>
      </c>
      <c r="S33" s="206">
        <f t="shared" si="11"/>
        <v>6.871428571428571</v>
      </c>
      <c r="T33" s="206">
        <f t="shared" si="11"/>
        <v>6.8518518518518512</v>
      </c>
      <c r="U33" s="206">
        <f t="shared" si="11"/>
        <v>6.7585227272727275</v>
      </c>
      <c r="V33" s="206">
        <f t="shared" si="11"/>
        <v>6.4999999999999991</v>
      </c>
      <c r="W33" s="206">
        <f t="shared" si="11"/>
        <v>6.0878962536023051</v>
      </c>
      <c r="X33" s="206">
        <f t="shared" si="11"/>
        <v>5.8328445747800588</v>
      </c>
      <c r="Y33" s="1803"/>
    </row>
    <row r="34" spans="2:25" s="75" customFormat="1" ht="20" customHeight="1" thickBot="1">
      <c r="B34" s="97" t="s">
        <v>471</v>
      </c>
      <c r="C34" s="98" t="s">
        <v>472</v>
      </c>
      <c r="D34" s="595">
        <f>D31/(D25/1000)</f>
        <v>1.821436749307854</v>
      </c>
      <c r="E34" s="595">
        <f t="shared" ref="E34:X34" si="12">E31/(E25/1000)</f>
        <v>1.9245875883739199</v>
      </c>
      <c r="F34" s="595">
        <f t="shared" si="12"/>
        <v>2.0131463136013781</v>
      </c>
      <c r="G34" s="595">
        <f t="shared" si="12"/>
        <v>2.1175611537057319</v>
      </c>
      <c r="H34" s="595">
        <f t="shared" si="12"/>
        <v>2.1985590167408349</v>
      </c>
      <c r="I34" s="595">
        <f t="shared" si="12"/>
        <v>2.2787466033777046</v>
      </c>
      <c r="J34" s="595">
        <f t="shared" si="12"/>
        <v>2.3510971786833856</v>
      </c>
      <c r="K34" s="595">
        <f t="shared" si="12"/>
        <v>2.4713225371120107</v>
      </c>
      <c r="L34" s="595">
        <f t="shared" si="12"/>
        <v>2.5501672240802677</v>
      </c>
      <c r="M34" s="595">
        <f t="shared" si="12"/>
        <v>2.633552796066339</v>
      </c>
      <c r="N34" s="595">
        <f t="shared" si="12"/>
        <v>2.7144408251900107</v>
      </c>
      <c r="O34" s="595">
        <f t="shared" si="12"/>
        <v>2.8025584918363911</v>
      </c>
      <c r="P34" s="595">
        <f t="shared" si="12"/>
        <v>2.8995394849053384</v>
      </c>
      <c r="Q34" s="595">
        <f t="shared" si="12"/>
        <v>2.9986962190352018</v>
      </c>
      <c r="R34" s="595">
        <f t="shared" si="12"/>
        <v>3.1054792075673743</v>
      </c>
      <c r="S34" s="595">
        <f t="shared" si="12"/>
        <v>3.2243205895900511</v>
      </c>
      <c r="T34" s="595">
        <f t="shared" si="12"/>
        <v>3.3623910336239105</v>
      </c>
      <c r="U34" s="595">
        <f t="shared" si="12"/>
        <v>3.5348463546896967</v>
      </c>
      <c r="V34" s="595">
        <f t="shared" si="12"/>
        <v>3.7186570335741611</v>
      </c>
      <c r="W34" s="595">
        <f t="shared" si="12"/>
        <v>3.9427337802522442</v>
      </c>
      <c r="X34" s="595">
        <f t="shared" si="12"/>
        <v>4.1969230769230768</v>
      </c>
      <c r="Y34" s="596">
        <f>Y35/90</f>
        <v>2.7166483139863176</v>
      </c>
    </row>
    <row r="35" spans="2:25" s="75" customFormat="1" ht="20" customHeight="1" thickBot="1">
      <c r="B35" s="97" t="s">
        <v>521</v>
      </c>
      <c r="C35" s="98" t="s">
        <v>666</v>
      </c>
      <c r="D35" s="595">
        <f>D31*5/(D25/1000)</f>
        <v>9.1071837465392704</v>
      </c>
      <c r="E35" s="595">
        <f t="shared" ref="E35:X35" si="13">E31*5/(E25/1000)</f>
        <v>9.6229379418695995</v>
      </c>
      <c r="F35" s="595">
        <f t="shared" si="13"/>
        <v>10.065731568006889</v>
      </c>
      <c r="G35" s="595">
        <f t="shared" si="13"/>
        <v>10.587805768528661</v>
      </c>
      <c r="H35" s="595">
        <f t="shared" si="13"/>
        <v>10.992795083704175</v>
      </c>
      <c r="I35" s="595">
        <f t="shared" si="13"/>
        <v>11.393733016888524</v>
      </c>
      <c r="J35" s="595">
        <f t="shared" si="13"/>
        <v>11.755485893416928</v>
      </c>
      <c r="K35" s="595">
        <f t="shared" si="13"/>
        <v>12.356612685560055</v>
      </c>
      <c r="L35" s="595">
        <f t="shared" si="13"/>
        <v>12.750836120401338</v>
      </c>
      <c r="M35" s="595">
        <f t="shared" si="13"/>
        <v>13.167763980331696</v>
      </c>
      <c r="N35" s="595">
        <f t="shared" si="13"/>
        <v>13.572204125950053</v>
      </c>
      <c r="O35" s="595">
        <f t="shared" si="13"/>
        <v>14.012792459181954</v>
      </c>
      <c r="P35" s="595">
        <f t="shared" si="13"/>
        <v>14.497697424526692</v>
      </c>
      <c r="Q35" s="595">
        <f t="shared" si="13"/>
        <v>14.993481095176008</v>
      </c>
      <c r="R35" s="595">
        <f t="shared" si="13"/>
        <v>15.527396037836871</v>
      </c>
      <c r="S35" s="595">
        <f t="shared" si="13"/>
        <v>16.121602947950258</v>
      </c>
      <c r="T35" s="595">
        <f t="shared" si="13"/>
        <v>16.81195516811955</v>
      </c>
      <c r="U35" s="595">
        <f t="shared" si="13"/>
        <v>17.674231773448486</v>
      </c>
      <c r="V35" s="595">
        <f t="shared" si="13"/>
        <v>18.593285167870807</v>
      </c>
      <c r="W35" s="595">
        <f t="shared" si="13"/>
        <v>19.713668901261219</v>
      </c>
      <c r="X35" s="595">
        <f t="shared" si="13"/>
        <v>20.984615384615385</v>
      </c>
      <c r="Y35" s="597">
        <f>SUM(E35:V35)</f>
        <v>244.49834825876857</v>
      </c>
    </row>
    <row r="36" spans="2:25" s="365" customFormat="1" ht="20" customHeight="1"/>
    <row r="37" spans="2:25" s="365" customFormat="1" ht="20" customHeight="1">
      <c r="B37" s="72" t="s">
        <v>256</v>
      </c>
      <c r="C37" s="73" t="s">
        <v>257</v>
      </c>
      <c r="D37" s="1253">
        <v>25</v>
      </c>
      <c r="E37" s="74">
        <v>30</v>
      </c>
      <c r="F37" s="74">
        <v>35</v>
      </c>
      <c r="G37" s="74">
        <v>40</v>
      </c>
      <c r="H37" s="74">
        <v>45</v>
      </c>
      <c r="I37" s="74">
        <v>50</v>
      </c>
      <c r="J37" s="74">
        <v>55</v>
      </c>
      <c r="K37" s="74">
        <v>60</v>
      </c>
      <c r="L37" s="74">
        <v>65</v>
      </c>
      <c r="M37" s="74">
        <v>70</v>
      </c>
      <c r="N37" s="74">
        <v>75</v>
      </c>
      <c r="O37" s="74">
        <v>80</v>
      </c>
      <c r="P37" s="74">
        <v>85</v>
      </c>
      <c r="Q37" s="74">
        <v>90</v>
      </c>
      <c r="R37" s="74">
        <v>95</v>
      </c>
      <c r="S37" s="74">
        <v>100</v>
      </c>
      <c r="T37" s="74">
        <v>105</v>
      </c>
      <c r="U37" s="74">
        <v>110</v>
      </c>
      <c r="V37" s="74">
        <v>115</v>
      </c>
      <c r="W37" s="74">
        <v>120</v>
      </c>
      <c r="X37" s="1253">
        <v>125</v>
      </c>
      <c r="Y37" s="1801" t="s">
        <v>784</v>
      </c>
    </row>
    <row r="38" spans="2:25" s="365" customFormat="1" ht="20" customHeight="1" thickBot="1">
      <c r="B38" s="76" t="s">
        <v>258</v>
      </c>
      <c r="C38" s="598">
        <f>ROUND(AVERAGE(E38:W38),-1)</f>
        <v>950</v>
      </c>
      <c r="D38" s="1254">
        <v>817</v>
      </c>
      <c r="E38" s="77">
        <v>860</v>
      </c>
      <c r="F38" s="77">
        <v>897</v>
      </c>
      <c r="G38" s="77">
        <v>930</v>
      </c>
      <c r="H38" s="77">
        <v>958</v>
      </c>
      <c r="I38" s="77">
        <v>981</v>
      </c>
      <c r="J38" s="77">
        <v>999</v>
      </c>
      <c r="K38" s="77">
        <v>1012</v>
      </c>
      <c r="L38" s="77">
        <v>1020</v>
      </c>
      <c r="M38" s="77">
        <v>1023</v>
      </c>
      <c r="N38" s="77">
        <v>1021</v>
      </c>
      <c r="O38" s="77">
        <v>1014</v>
      </c>
      <c r="P38" s="77">
        <v>1002</v>
      </c>
      <c r="Q38" s="77">
        <v>985</v>
      </c>
      <c r="R38" s="77">
        <v>962</v>
      </c>
      <c r="S38" s="77">
        <v>935</v>
      </c>
      <c r="T38" s="77">
        <v>903</v>
      </c>
      <c r="U38" s="77">
        <v>866</v>
      </c>
      <c r="V38" s="77">
        <v>824</v>
      </c>
      <c r="W38" s="77">
        <v>777</v>
      </c>
      <c r="X38" s="1254">
        <v>725</v>
      </c>
      <c r="Y38" s="1807"/>
    </row>
    <row r="39" spans="2:25" s="365" customFormat="1" ht="20" customHeight="1" thickBot="1">
      <c r="B39" s="76"/>
      <c r="C39" s="1252" t="s">
        <v>783</v>
      </c>
      <c r="D39" s="1256">
        <f t="shared" ref="D39:X39" si="14">5/D38*1000</f>
        <v>6.119951040391677</v>
      </c>
      <c r="E39" s="1257">
        <f t="shared" si="14"/>
        <v>5.8139534883720927</v>
      </c>
      <c r="F39" s="1257">
        <f t="shared" si="14"/>
        <v>5.574136008918618</v>
      </c>
      <c r="G39" s="1257">
        <f t="shared" si="14"/>
        <v>5.3763440860215059</v>
      </c>
      <c r="H39" s="1257">
        <f t="shared" si="14"/>
        <v>5.2192066805845512</v>
      </c>
      <c r="I39" s="1257">
        <f t="shared" si="14"/>
        <v>5.0968399592252807</v>
      </c>
      <c r="J39" s="1257">
        <f t="shared" si="14"/>
        <v>5.005005005005005</v>
      </c>
      <c r="K39" s="1257">
        <f t="shared" si="14"/>
        <v>4.9407114624505928</v>
      </c>
      <c r="L39" s="1257">
        <f t="shared" si="14"/>
        <v>4.9019607843137258</v>
      </c>
      <c r="M39" s="1257">
        <f t="shared" si="14"/>
        <v>4.8875855327468232</v>
      </c>
      <c r="N39" s="1257">
        <f t="shared" si="14"/>
        <v>4.8971596474045054</v>
      </c>
      <c r="O39" s="1257">
        <f t="shared" si="14"/>
        <v>4.9309664694280082</v>
      </c>
      <c r="P39" s="1257">
        <f t="shared" si="14"/>
        <v>4.9900199600798407</v>
      </c>
      <c r="Q39" s="1257">
        <f t="shared" si="14"/>
        <v>5.0761421319796947</v>
      </c>
      <c r="R39" s="1257">
        <f t="shared" si="14"/>
        <v>5.1975051975051976</v>
      </c>
      <c r="S39" s="1257">
        <f t="shared" si="14"/>
        <v>5.3475935828877006</v>
      </c>
      <c r="T39" s="1257">
        <f t="shared" si="14"/>
        <v>5.5370985603543748</v>
      </c>
      <c r="U39" s="1257">
        <f t="shared" si="14"/>
        <v>5.7736720554272516</v>
      </c>
      <c r="V39" s="1257">
        <f t="shared" si="14"/>
        <v>6.0679611650485432</v>
      </c>
      <c r="W39" s="1258">
        <f t="shared" si="14"/>
        <v>6.4350064350064349</v>
      </c>
      <c r="X39" s="1259">
        <f t="shared" si="14"/>
        <v>6.8965517241379306</v>
      </c>
      <c r="Y39" s="1255">
        <f>ROUND(SUM(E39:V39),0)</f>
        <v>95</v>
      </c>
    </row>
    <row r="40" spans="2:25" s="365" customFormat="1" ht="20" customHeight="1">
      <c r="B40" s="599" t="s">
        <v>14</v>
      </c>
      <c r="C40" s="600" t="s">
        <v>259</v>
      </c>
      <c r="D40" s="206">
        <v>19.100000000000001</v>
      </c>
      <c r="E40" s="206">
        <v>21.2</v>
      </c>
      <c r="F40" s="206">
        <v>23.2</v>
      </c>
      <c r="G40" s="206">
        <v>25</v>
      </c>
      <c r="H40" s="206">
        <v>26.7</v>
      </c>
      <c r="I40" s="206">
        <v>28.4</v>
      </c>
      <c r="J40" s="206">
        <v>29.9</v>
      </c>
      <c r="K40" s="206">
        <v>31.3</v>
      </c>
      <c r="L40" s="206">
        <v>32.6</v>
      </c>
      <c r="M40" s="206">
        <f>IF($T$6="HP",M27+3,33.7)</f>
        <v>33.700000000000003</v>
      </c>
      <c r="N40" s="206">
        <f>IF($T$6="HP",N27+3,34.7)</f>
        <v>34.700000000000003</v>
      </c>
      <c r="O40" s="206">
        <f>IF($T$6="HP",O27+2,35.6)</f>
        <v>35.6</v>
      </c>
      <c r="P40" s="206">
        <f>IF($T$6="HP",P27+2,36.3)</f>
        <v>36.299999999999997</v>
      </c>
      <c r="Q40" s="206">
        <f>IF($T$6="HP",Q27+2,36.9)</f>
        <v>36.9</v>
      </c>
      <c r="R40" s="206">
        <f>IF($T$6="HP",R27+2,37.2)</f>
        <v>37.200000000000003</v>
      </c>
      <c r="S40" s="206">
        <f>IF($T$6="HP",S27+2,37.4)</f>
        <v>37.4</v>
      </c>
      <c r="T40" s="206">
        <f>IF($T$6="HP",T27+2,37.7)</f>
        <v>37.700000000000003</v>
      </c>
      <c r="U40" s="206">
        <f>IF($T$6="HP",U27+2,37.8)</f>
        <v>37.799999999999997</v>
      </c>
      <c r="V40" s="206">
        <f>IF($T$6="HP",V27+2,37.7)</f>
        <v>37.700000000000003</v>
      </c>
      <c r="W40" s="206">
        <f>IF($T$6="HP",W27+2,37.4)</f>
        <v>37.4</v>
      </c>
      <c r="X40" s="206">
        <f>IF($T$6="HP",X27+2,36.9)</f>
        <v>36.9</v>
      </c>
      <c r="Y40" s="78"/>
    </row>
    <row r="41" spans="2:25" s="365" customFormat="1" ht="20" customHeight="1">
      <c r="B41" s="599" t="s">
        <v>453</v>
      </c>
      <c r="C41" s="600" t="s">
        <v>260</v>
      </c>
      <c r="D41" s="206">
        <f>IF($T$6="HP",D28+2,16)</f>
        <v>16</v>
      </c>
      <c r="E41" s="206">
        <f>IF($T$6="HP",E28+2,16.6)</f>
        <v>16.600000000000001</v>
      </c>
      <c r="F41" s="206">
        <f>IF($T$6="HP",F28+2,17.1)</f>
        <v>17.100000000000001</v>
      </c>
      <c r="G41" s="206">
        <f>IF($T$6="HP",G28+2,17.3)</f>
        <v>17.3</v>
      </c>
      <c r="H41" s="206">
        <f>IF($T$6="HP",H28+2,18)</f>
        <v>18</v>
      </c>
      <c r="I41" s="206">
        <f>IF($T$6="HP",I28+2,18.7)</f>
        <v>18.7</v>
      </c>
      <c r="J41" s="206">
        <f>IF($T$6="HP",J28+2,18.8)</f>
        <v>18.8</v>
      </c>
      <c r="K41" s="206">
        <f>IF($T$6="HP",K28+2,18.95)</f>
        <v>18.95</v>
      </c>
      <c r="L41" s="206">
        <f>IF($T$6="HP",L28+2,19)</f>
        <v>19</v>
      </c>
      <c r="M41" s="206">
        <f>IF($T$6="HP",M28+2,19.1)</f>
        <v>19.100000000000001</v>
      </c>
      <c r="N41" s="206">
        <f>IF($T$6="HP",N28+2,19.65)</f>
        <v>19.649999999999999</v>
      </c>
      <c r="O41" s="206">
        <f>IF($T$6="HP",O28+2,19.9)</f>
        <v>19.899999999999999</v>
      </c>
      <c r="P41" s="206">
        <f>IF($T$6="HP",P28+2,19.95)</f>
        <v>19.95</v>
      </c>
      <c r="Q41" s="206">
        <f>IF($T$6="HP",Q28+2,20.05)</f>
        <v>20.05</v>
      </c>
      <c r="R41" s="206">
        <f>IF($T$6="HP",R28+2,20.2)</f>
        <v>20.2</v>
      </c>
      <c r="S41" s="206">
        <f>IF($T$6="HP",S28+2,20.4)</f>
        <v>20.399999999999999</v>
      </c>
      <c r="T41" s="206">
        <f>IF($T$6="HP",T28+2,20.6)</f>
        <v>20.6</v>
      </c>
      <c r="U41" s="206">
        <f>IF($T$6="HP",U28+2,20.7)</f>
        <v>20.7</v>
      </c>
      <c r="V41" s="206">
        <f>IF($T$6="HP",V28+2,20)</f>
        <v>20</v>
      </c>
      <c r="W41" s="206">
        <f>IF($T$6="HP",W28+2,18.75)</f>
        <v>18.75</v>
      </c>
      <c r="X41" s="206">
        <f>IF($T$6="HP",X28+2,18)</f>
        <v>18</v>
      </c>
      <c r="Y41" s="78"/>
    </row>
    <row r="42" spans="2:25" s="365" customFormat="1" ht="20" customHeight="1">
      <c r="B42" s="599" t="s">
        <v>14</v>
      </c>
      <c r="C42" s="600" t="s">
        <v>261</v>
      </c>
      <c r="D42" s="206">
        <f>$E$7</f>
        <v>13.4</v>
      </c>
      <c r="E42" s="206">
        <f>$E$7</f>
        <v>13.4</v>
      </c>
      <c r="F42" s="206">
        <f>$E$7</f>
        <v>13.4</v>
      </c>
      <c r="G42" s="206">
        <f>$G$7</f>
        <v>13.2</v>
      </c>
      <c r="H42" s="206">
        <f>$G$7</f>
        <v>13.2</v>
      </c>
      <c r="I42" s="206">
        <f>$G$7</f>
        <v>13.2</v>
      </c>
      <c r="J42" s="206">
        <f>$G$7</f>
        <v>13.2</v>
      </c>
      <c r="K42" s="206">
        <f>$K$7</f>
        <v>13</v>
      </c>
      <c r="L42" s="206">
        <f>$K$7</f>
        <v>13</v>
      </c>
      <c r="M42" s="206">
        <f>$M$7</f>
        <v>13</v>
      </c>
      <c r="N42" s="206">
        <f>$M$7</f>
        <v>13</v>
      </c>
      <c r="O42" s="206">
        <f>$M$7</f>
        <v>13</v>
      </c>
      <c r="P42" s="206">
        <f>$M$7</f>
        <v>13</v>
      </c>
      <c r="Q42" s="206">
        <f>$Q$7</f>
        <v>13</v>
      </c>
      <c r="R42" s="206">
        <f t="shared" ref="R42:X42" si="15">$Q$7</f>
        <v>13</v>
      </c>
      <c r="S42" s="206">
        <f t="shared" si="15"/>
        <v>13</v>
      </c>
      <c r="T42" s="206">
        <f t="shared" si="15"/>
        <v>13</v>
      </c>
      <c r="U42" s="206">
        <f t="shared" si="15"/>
        <v>13</v>
      </c>
      <c r="V42" s="206">
        <f t="shared" si="15"/>
        <v>13</v>
      </c>
      <c r="W42" s="206">
        <f t="shared" si="15"/>
        <v>13</v>
      </c>
      <c r="X42" s="206">
        <f t="shared" si="15"/>
        <v>13</v>
      </c>
      <c r="Y42" s="78"/>
    </row>
    <row r="43" spans="2:25" s="365" customFormat="1" ht="20" customHeight="1">
      <c r="B43" s="599" t="s">
        <v>520</v>
      </c>
      <c r="C43" s="600" t="s">
        <v>260</v>
      </c>
      <c r="D43" s="206">
        <v>4.5999999999999996</v>
      </c>
      <c r="E43" s="206">
        <v>4.9000000000000004</v>
      </c>
      <c r="F43" s="206">
        <v>5</v>
      </c>
      <c r="G43" s="206">
        <v>5.25</v>
      </c>
      <c r="H43" s="206">
        <v>5.4</v>
      </c>
      <c r="I43" s="206">
        <v>5.7</v>
      </c>
      <c r="J43" s="206">
        <v>5.8</v>
      </c>
      <c r="K43" s="206">
        <v>5.95</v>
      </c>
      <c r="L43" s="206">
        <v>6</v>
      </c>
      <c r="M43" s="206">
        <v>6.1</v>
      </c>
      <c r="N43" s="206">
        <v>6.15</v>
      </c>
      <c r="O43" s="206">
        <v>6.07</v>
      </c>
      <c r="P43" s="206">
        <v>6</v>
      </c>
      <c r="Q43" s="206">
        <v>5.9249999999999998</v>
      </c>
      <c r="R43" s="206">
        <v>5.8</v>
      </c>
      <c r="S43" s="206">
        <v>5.6749999999999998</v>
      </c>
      <c r="T43" s="206">
        <v>5.5</v>
      </c>
      <c r="U43" s="206">
        <v>5.35</v>
      </c>
      <c r="V43" s="206">
        <v>5.07</v>
      </c>
      <c r="W43" s="206">
        <v>4.88</v>
      </c>
      <c r="X43" s="206">
        <v>4.7</v>
      </c>
      <c r="Y43" s="78"/>
    </row>
    <row r="44" spans="2:25" s="17" customFormat="1" ht="20" customHeight="1">
      <c r="B44" s="97" t="s">
        <v>262</v>
      </c>
      <c r="C44" s="98" t="s">
        <v>669</v>
      </c>
      <c r="D44" s="96">
        <f t="shared" ref="D44:X44" si="16">D40/D42</f>
        <v>1.4253731343283582</v>
      </c>
      <c r="E44" s="96">
        <f t="shared" si="16"/>
        <v>1.5820895522388059</v>
      </c>
      <c r="F44" s="96">
        <f t="shared" si="16"/>
        <v>1.7313432835820894</v>
      </c>
      <c r="G44" s="96">
        <f t="shared" si="16"/>
        <v>1.893939393939394</v>
      </c>
      <c r="H44" s="96">
        <f t="shared" si="16"/>
        <v>2.0227272727272729</v>
      </c>
      <c r="I44" s="96">
        <f t="shared" si="16"/>
        <v>2.1515151515151514</v>
      </c>
      <c r="J44" s="96">
        <f t="shared" si="16"/>
        <v>2.2651515151515151</v>
      </c>
      <c r="K44" s="96">
        <f t="shared" si="16"/>
        <v>2.4076923076923076</v>
      </c>
      <c r="L44" s="96">
        <f t="shared" si="16"/>
        <v>2.5076923076923077</v>
      </c>
      <c r="M44" s="96">
        <f t="shared" si="16"/>
        <v>2.5923076923076924</v>
      </c>
      <c r="N44" s="96">
        <f t="shared" si="16"/>
        <v>2.6692307692307695</v>
      </c>
      <c r="O44" s="96">
        <f t="shared" si="16"/>
        <v>2.7384615384615385</v>
      </c>
      <c r="P44" s="96">
        <f t="shared" si="16"/>
        <v>2.7923076923076922</v>
      </c>
      <c r="Q44" s="96">
        <f t="shared" si="16"/>
        <v>2.8384615384615381</v>
      </c>
      <c r="R44" s="96">
        <f t="shared" si="16"/>
        <v>2.8615384615384616</v>
      </c>
      <c r="S44" s="96">
        <f t="shared" si="16"/>
        <v>2.8769230769230769</v>
      </c>
      <c r="T44" s="96">
        <f t="shared" si="16"/>
        <v>2.9000000000000004</v>
      </c>
      <c r="U44" s="96">
        <f t="shared" si="16"/>
        <v>2.9076923076923076</v>
      </c>
      <c r="V44" s="96">
        <f t="shared" si="16"/>
        <v>2.9000000000000004</v>
      </c>
      <c r="W44" s="96">
        <f t="shared" si="16"/>
        <v>2.8769230769230769</v>
      </c>
      <c r="X44" s="96">
        <f t="shared" si="16"/>
        <v>2.8384615384615381</v>
      </c>
      <c r="Y44" s="1801" t="s">
        <v>785</v>
      </c>
    </row>
    <row r="45" spans="2:25" s="17" customFormat="1" ht="20" customHeight="1">
      <c r="B45" s="599" t="s">
        <v>520</v>
      </c>
      <c r="C45" s="600" t="s">
        <v>263</v>
      </c>
      <c r="D45" s="206">
        <f t="shared" ref="D45:X45" si="17">D43/D44</f>
        <v>3.2272251308900519</v>
      </c>
      <c r="E45" s="206">
        <f t="shared" si="17"/>
        <v>3.0971698113207551</v>
      </c>
      <c r="F45" s="206">
        <f t="shared" si="17"/>
        <v>2.8879310344827589</v>
      </c>
      <c r="G45" s="206">
        <f t="shared" si="17"/>
        <v>2.7719999999999998</v>
      </c>
      <c r="H45" s="206">
        <f t="shared" si="17"/>
        <v>2.6696629213483147</v>
      </c>
      <c r="I45" s="206">
        <f t="shared" si="17"/>
        <v>2.6492957746478876</v>
      </c>
      <c r="J45" s="206">
        <f t="shared" si="17"/>
        <v>2.560535117056856</v>
      </c>
      <c r="K45" s="206">
        <f t="shared" si="17"/>
        <v>2.4712460063897765</v>
      </c>
      <c r="L45" s="206">
        <f t="shared" si="17"/>
        <v>2.3926380368098159</v>
      </c>
      <c r="M45" s="206">
        <f t="shared" si="17"/>
        <v>2.353115727002967</v>
      </c>
      <c r="N45" s="206">
        <f t="shared" si="17"/>
        <v>2.3040345821325645</v>
      </c>
      <c r="O45" s="206">
        <f t="shared" si="17"/>
        <v>2.2165730337078653</v>
      </c>
      <c r="P45" s="206">
        <f t="shared" si="17"/>
        <v>2.1487603305785123</v>
      </c>
      <c r="Q45" s="206">
        <f t="shared" si="17"/>
        <v>2.0873983739837398</v>
      </c>
      <c r="R45" s="206">
        <f t="shared" si="17"/>
        <v>2.0268817204301075</v>
      </c>
      <c r="S45" s="206">
        <f t="shared" si="17"/>
        <v>1.9725935828877004</v>
      </c>
      <c r="T45" s="206">
        <f t="shared" si="17"/>
        <v>1.8965517241379308</v>
      </c>
      <c r="U45" s="206">
        <f t="shared" si="17"/>
        <v>1.83994708994709</v>
      </c>
      <c r="V45" s="206">
        <f t="shared" si="17"/>
        <v>1.7482758620689653</v>
      </c>
      <c r="W45" s="206">
        <f t="shared" si="17"/>
        <v>1.6962566844919786</v>
      </c>
      <c r="X45" s="206">
        <f t="shared" si="17"/>
        <v>1.6558265582655829</v>
      </c>
      <c r="Y45" s="1802"/>
    </row>
    <row r="46" spans="2:25" s="365" customFormat="1" ht="20" customHeight="1" thickBot="1">
      <c r="B46" s="599" t="s">
        <v>453</v>
      </c>
      <c r="C46" s="600" t="s">
        <v>263</v>
      </c>
      <c r="D46" s="206">
        <f>D41/D44</f>
        <v>11.225130890052355</v>
      </c>
      <c r="E46" s="206">
        <f t="shared" ref="E46:X46" si="18">E41/E44</f>
        <v>10.492452830188681</v>
      </c>
      <c r="F46" s="206">
        <f t="shared" si="18"/>
        <v>9.8767241379310367</v>
      </c>
      <c r="G46" s="206">
        <f t="shared" si="18"/>
        <v>9.1343999999999994</v>
      </c>
      <c r="H46" s="206">
        <f t="shared" si="18"/>
        <v>8.8988764044943807</v>
      </c>
      <c r="I46" s="206">
        <f t="shared" si="18"/>
        <v>8.6915492957746476</v>
      </c>
      <c r="J46" s="206">
        <f t="shared" si="18"/>
        <v>8.2996655518394657</v>
      </c>
      <c r="K46" s="206">
        <f t="shared" si="18"/>
        <v>7.8706070287539935</v>
      </c>
      <c r="L46" s="206">
        <f t="shared" si="18"/>
        <v>7.5766871165644174</v>
      </c>
      <c r="M46" s="206">
        <f t="shared" si="18"/>
        <v>7.3679525222551927</v>
      </c>
      <c r="N46" s="206">
        <f t="shared" si="18"/>
        <v>7.3616714697406325</v>
      </c>
      <c r="O46" s="206">
        <f t="shared" si="18"/>
        <v>7.2668539325842687</v>
      </c>
      <c r="P46" s="206">
        <f t="shared" si="18"/>
        <v>7.1446280991735538</v>
      </c>
      <c r="Q46" s="206">
        <f t="shared" si="18"/>
        <v>7.0636856368563699</v>
      </c>
      <c r="R46" s="206">
        <f t="shared" si="18"/>
        <v>7.0591397849462361</v>
      </c>
      <c r="S46" s="206">
        <f t="shared" si="18"/>
        <v>7.0909090909090908</v>
      </c>
      <c r="T46" s="206">
        <f t="shared" si="18"/>
        <v>7.1034482758620685</v>
      </c>
      <c r="U46" s="206">
        <f t="shared" si="18"/>
        <v>7.1190476190476195</v>
      </c>
      <c r="V46" s="206">
        <f t="shared" si="18"/>
        <v>6.8965517241379306</v>
      </c>
      <c r="W46" s="206">
        <f t="shared" si="18"/>
        <v>6.5173796791443852</v>
      </c>
      <c r="X46" s="206">
        <f t="shared" si="18"/>
        <v>6.3414634146341466</v>
      </c>
      <c r="Y46" s="1803"/>
    </row>
    <row r="47" spans="2:25" s="75" customFormat="1" ht="20" customHeight="1" thickBot="1">
      <c r="B47" s="97" t="s">
        <v>471</v>
      </c>
      <c r="C47" s="98" t="s">
        <v>472</v>
      </c>
      <c r="D47" s="595">
        <f>D44/(D38/1000)</f>
        <v>1.7446427592758365</v>
      </c>
      <c r="E47" s="595">
        <f t="shared" ref="E47:X47" si="19">E44/(E38/1000)</f>
        <v>1.8396390142311696</v>
      </c>
      <c r="F47" s="595">
        <f t="shared" si="19"/>
        <v>1.9301485881628644</v>
      </c>
      <c r="G47" s="595">
        <f t="shared" si="19"/>
        <v>2.0364939719778428</v>
      </c>
      <c r="H47" s="595">
        <f t="shared" si="19"/>
        <v>2.1114063389637505</v>
      </c>
      <c r="I47" s="595">
        <f t="shared" si="19"/>
        <v>2.1931856794242113</v>
      </c>
      <c r="J47" s="595">
        <f t="shared" si="19"/>
        <v>2.2674189340856006</v>
      </c>
      <c r="K47" s="595">
        <f t="shared" si="19"/>
        <v>2.3791425965339008</v>
      </c>
      <c r="L47" s="595">
        <f t="shared" si="19"/>
        <v>2.4585218702865763</v>
      </c>
      <c r="M47" s="595">
        <f t="shared" si="19"/>
        <v>2.5340251146702761</v>
      </c>
      <c r="N47" s="595">
        <f t="shared" si="19"/>
        <v>2.6143298425374826</v>
      </c>
      <c r="O47" s="595">
        <f t="shared" si="19"/>
        <v>2.7006524047944165</v>
      </c>
      <c r="P47" s="595">
        <f t="shared" si="19"/>
        <v>2.7867342238599724</v>
      </c>
      <c r="Q47" s="595">
        <f t="shared" si="19"/>
        <v>2.8816868410777037</v>
      </c>
      <c r="R47" s="595">
        <f t="shared" si="19"/>
        <v>2.9745722053414361</v>
      </c>
      <c r="S47" s="595">
        <f t="shared" si="19"/>
        <v>3.0769230769230766</v>
      </c>
      <c r="T47" s="595">
        <f t="shared" si="19"/>
        <v>3.2115171650055374</v>
      </c>
      <c r="U47" s="595">
        <f t="shared" si="19"/>
        <v>3.3576123645407709</v>
      </c>
      <c r="V47" s="595">
        <f t="shared" si="19"/>
        <v>3.5194174757281558</v>
      </c>
      <c r="W47" s="595">
        <f t="shared" si="19"/>
        <v>3.7026037026037026</v>
      </c>
      <c r="X47" s="595">
        <f t="shared" si="19"/>
        <v>3.9151193633952253</v>
      </c>
      <c r="Y47" s="596">
        <f>Y48/90</f>
        <v>2.6040793171191523</v>
      </c>
    </row>
    <row r="48" spans="2:25" s="75" customFormat="1" ht="20" customHeight="1" thickBot="1">
      <c r="B48" s="97" t="s">
        <v>521</v>
      </c>
      <c r="C48" s="98" t="s">
        <v>666</v>
      </c>
      <c r="D48" s="595">
        <f>D44*5/(D38/1000)</f>
        <v>8.7232137963791825</v>
      </c>
      <c r="E48" s="595">
        <f t="shared" ref="E48:X48" si="20">E44*5/(E38/1000)</f>
        <v>9.1981950711558476</v>
      </c>
      <c r="F48" s="595">
        <f t="shared" si="20"/>
        <v>9.6507429408143217</v>
      </c>
      <c r="G48" s="595">
        <f t="shared" si="20"/>
        <v>10.182469859889215</v>
      </c>
      <c r="H48" s="595">
        <f t="shared" si="20"/>
        <v>10.557031694818754</v>
      </c>
      <c r="I48" s="595">
        <f t="shared" si="20"/>
        <v>10.965928397121058</v>
      </c>
      <c r="J48" s="595">
        <f t="shared" si="20"/>
        <v>11.337094670428003</v>
      </c>
      <c r="K48" s="595">
        <f t="shared" si="20"/>
        <v>11.895712982669504</v>
      </c>
      <c r="L48" s="595">
        <f t="shared" si="20"/>
        <v>12.29260935143288</v>
      </c>
      <c r="M48" s="595">
        <f t="shared" si="20"/>
        <v>12.670125573351381</v>
      </c>
      <c r="N48" s="595">
        <f t="shared" si="20"/>
        <v>13.071649212687412</v>
      </c>
      <c r="O48" s="595">
        <f t="shared" si="20"/>
        <v>13.503262023972084</v>
      </c>
      <c r="P48" s="595">
        <f t="shared" si="20"/>
        <v>13.933671119299861</v>
      </c>
      <c r="Q48" s="595">
        <f t="shared" si="20"/>
        <v>14.408434205388518</v>
      </c>
      <c r="R48" s="595">
        <f t="shared" si="20"/>
        <v>14.872861026707183</v>
      </c>
      <c r="S48" s="595">
        <f t="shared" si="20"/>
        <v>15.384615384615385</v>
      </c>
      <c r="T48" s="595">
        <f t="shared" si="20"/>
        <v>16.057585825027687</v>
      </c>
      <c r="U48" s="595">
        <f t="shared" si="20"/>
        <v>16.788061822703856</v>
      </c>
      <c r="V48" s="595">
        <f t="shared" si="20"/>
        <v>17.597087378640779</v>
      </c>
      <c r="W48" s="595">
        <f t="shared" si="20"/>
        <v>18.513018513018512</v>
      </c>
      <c r="X48" s="595">
        <f t="shared" si="20"/>
        <v>19.575596816976123</v>
      </c>
      <c r="Y48" s="597">
        <f>SUM(E48:V48)</f>
        <v>234.36713854072372</v>
      </c>
    </row>
    <row r="49" spans="2:25" ht="22" customHeight="1"/>
    <row r="50" spans="2:25" ht="22" customHeight="1"/>
    <row r="51" spans="2:25" ht="22" customHeight="1">
      <c r="B51" s="1804" t="str">
        <f>IF($T$6="HP","Mast weiblicher Tiere mit sehr hohem Proteinansatz","Mast weiblicher Tiere")</f>
        <v>Mast weiblicher Tiere</v>
      </c>
      <c r="C51" s="1804"/>
      <c r="D51" s="1804"/>
      <c r="E51" s="1804"/>
      <c r="F51" s="1804"/>
      <c r="G51" s="1804"/>
      <c r="H51" s="1804"/>
      <c r="I51" s="1804"/>
      <c r="J51" s="1804"/>
      <c r="K51" s="1804"/>
      <c r="L51" s="1804"/>
      <c r="M51" s="1804"/>
      <c r="N51" s="1804"/>
      <c r="O51" s="1804"/>
      <c r="P51" s="1804"/>
      <c r="Q51" s="1804"/>
      <c r="R51" s="1804"/>
      <c r="S51" s="1804"/>
      <c r="T51" s="1804"/>
      <c r="U51" s="1804"/>
      <c r="V51" s="1804"/>
      <c r="W51" s="1804"/>
      <c r="X51" s="1804"/>
    </row>
    <row r="52" spans="2:25" ht="22" customHeight="1">
      <c r="J52" s="1260" t="str">
        <f>B51</f>
        <v>Mast weiblicher Tiere</v>
      </c>
    </row>
    <row r="53" spans="2:25" s="75" customFormat="1" ht="22" customHeight="1">
      <c r="B53" s="72" t="s">
        <v>256</v>
      </c>
      <c r="C53" s="73" t="s">
        <v>257</v>
      </c>
      <c r="D53" s="1253">
        <v>25</v>
      </c>
      <c r="E53" s="74">
        <v>30</v>
      </c>
      <c r="F53" s="74">
        <v>35</v>
      </c>
      <c r="G53" s="74">
        <v>40</v>
      </c>
      <c r="H53" s="74">
        <v>45</v>
      </c>
      <c r="I53" s="74">
        <v>50</v>
      </c>
      <c r="J53" s="74">
        <v>55</v>
      </c>
      <c r="K53" s="74">
        <v>60</v>
      </c>
      <c r="L53" s="74">
        <v>65</v>
      </c>
      <c r="M53" s="74">
        <v>70</v>
      </c>
      <c r="N53" s="74">
        <v>75</v>
      </c>
      <c r="O53" s="74">
        <v>80</v>
      </c>
      <c r="P53" s="74">
        <v>85</v>
      </c>
      <c r="Q53" s="74">
        <v>90</v>
      </c>
      <c r="R53" s="74">
        <v>95</v>
      </c>
      <c r="S53" s="74">
        <v>100</v>
      </c>
      <c r="T53" s="74">
        <v>105</v>
      </c>
      <c r="U53" s="74">
        <v>110</v>
      </c>
      <c r="V53" s="74">
        <v>115</v>
      </c>
      <c r="W53" s="74">
        <v>120</v>
      </c>
      <c r="X53" s="1253">
        <v>125</v>
      </c>
      <c r="Y53" s="1801" t="s">
        <v>784</v>
      </c>
    </row>
    <row r="54" spans="2:25" s="78" customFormat="1" ht="22" customHeight="1" thickBot="1">
      <c r="B54" s="76" t="s">
        <v>258</v>
      </c>
      <c r="C54" s="598">
        <f>ROUND(AVERAGE(E54:W54),-1)</f>
        <v>720</v>
      </c>
      <c r="D54" s="1254">
        <f t="shared" ref="D54:X54" si="21">D65-100</f>
        <v>592</v>
      </c>
      <c r="E54" s="77">
        <f>E65-100</f>
        <v>635</v>
      </c>
      <c r="F54" s="77">
        <f t="shared" si="21"/>
        <v>672</v>
      </c>
      <c r="G54" s="77">
        <f t="shared" si="21"/>
        <v>705</v>
      </c>
      <c r="H54" s="77">
        <f t="shared" si="21"/>
        <v>733</v>
      </c>
      <c r="I54" s="77">
        <f t="shared" si="21"/>
        <v>756</v>
      </c>
      <c r="J54" s="77">
        <f t="shared" si="21"/>
        <v>774</v>
      </c>
      <c r="K54" s="77">
        <f t="shared" si="21"/>
        <v>787</v>
      </c>
      <c r="L54" s="77">
        <f t="shared" si="21"/>
        <v>795</v>
      </c>
      <c r="M54" s="77">
        <f t="shared" si="21"/>
        <v>798</v>
      </c>
      <c r="N54" s="77">
        <f t="shared" si="21"/>
        <v>796</v>
      </c>
      <c r="O54" s="77">
        <f t="shared" si="21"/>
        <v>789</v>
      </c>
      <c r="P54" s="77">
        <f t="shared" si="21"/>
        <v>777</v>
      </c>
      <c r="Q54" s="77">
        <f t="shared" si="21"/>
        <v>760</v>
      </c>
      <c r="R54" s="77">
        <f t="shared" si="21"/>
        <v>737</v>
      </c>
      <c r="S54" s="77">
        <f t="shared" si="21"/>
        <v>710</v>
      </c>
      <c r="T54" s="77">
        <f t="shared" si="21"/>
        <v>678</v>
      </c>
      <c r="U54" s="77">
        <f t="shared" si="21"/>
        <v>641</v>
      </c>
      <c r="V54" s="77">
        <f t="shared" si="21"/>
        <v>599</v>
      </c>
      <c r="W54" s="77">
        <f t="shared" si="21"/>
        <v>552</v>
      </c>
      <c r="X54" s="1254">
        <f t="shared" si="21"/>
        <v>500</v>
      </c>
      <c r="Y54" s="1807"/>
    </row>
    <row r="55" spans="2:25" s="78" customFormat="1" ht="22" customHeight="1" thickBot="1">
      <c r="B55" s="1251" t="s">
        <v>782</v>
      </c>
      <c r="C55" s="1252" t="s">
        <v>783</v>
      </c>
      <c r="D55" s="1256">
        <f t="shared" ref="D55:X55" si="22">5/D54*1000</f>
        <v>8.4459459459459456</v>
      </c>
      <c r="E55" s="1257">
        <f t="shared" si="22"/>
        <v>7.8740157480314963</v>
      </c>
      <c r="F55" s="1257">
        <f t="shared" si="22"/>
        <v>7.4404761904761898</v>
      </c>
      <c r="G55" s="1257">
        <f t="shared" si="22"/>
        <v>7.0921985815602833</v>
      </c>
      <c r="H55" s="1257">
        <f t="shared" si="22"/>
        <v>6.8212824010914055</v>
      </c>
      <c r="I55" s="1257">
        <f t="shared" si="22"/>
        <v>6.6137566137566131</v>
      </c>
      <c r="J55" s="1257">
        <f t="shared" si="22"/>
        <v>6.459948320413436</v>
      </c>
      <c r="K55" s="1257">
        <f t="shared" si="22"/>
        <v>6.3532401524777633</v>
      </c>
      <c r="L55" s="1257">
        <f t="shared" si="22"/>
        <v>6.2893081761006293</v>
      </c>
      <c r="M55" s="1257">
        <f t="shared" si="22"/>
        <v>6.2656641604010019</v>
      </c>
      <c r="N55" s="1257">
        <f t="shared" si="22"/>
        <v>6.2814070351758797</v>
      </c>
      <c r="O55" s="1257">
        <f t="shared" si="22"/>
        <v>6.337135614702154</v>
      </c>
      <c r="P55" s="1257">
        <f t="shared" si="22"/>
        <v>6.4350064350064349</v>
      </c>
      <c r="Q55" s="1257">
        <f t="shared" si="22"/>
        <v>6.5789473684210522</v>
      </c>
      <c r="R55" s="1257">
        <f t="shared" si="22"/>
        <v>6.7842605156037994</v>
      </c>
      <c r="S55" s="1257">
        <f t="shared" si="22"/>
        <v>7.042253521126761</v>
      </c>
      <c r="T55" s="1257">
        <f t="shared" si="22"/>
        <v>7.3746312684365778</v>
      </c>
      <c r="U55" s="1257">
        <f t="shared" si="22"/>
        <v>7.8003120124804992</v>
      </c>
      <c r="V55" s="1257">
        <f t="shared" si="22"/>
        <v>8.3472454090150254</v>
      </c>
      <c r="W55" s="1258">
        <f t="shared" si="22"/>
        <v>9.0579710144927539</v>
      </c>
      <c r="X55" s="1259">
        <f t="shared" si="22"/>
        <v>10</v>
      </c>
      <c r="Y55" s="1255">
        <f>ROUND(SUM(E55:V55),0)</f>
        <v>124</v>
      </c>
    </row>
    <row r="56" spans="2:25" s="82" customFormat="1" ht="22" customHeight="1">
      <c r="B56" s="1541" t="s">
        <v>14</v>
      </c>
      <c r="C56" s="1542" t="s">
        <v>259</v>
      </c>
      <c r="D56" s="1543">
        <v>15.5</v>
      </c>
      <c r="E56" s="1543">
        <v>17.5</v>
      </c>
      <c r="F56" s="1543">
        <v>19</v>
      </c>
      <c r="G56" s="1543">
        <v>20.5</v>
      </c>
      <c r="H56" s="1543">
        <v>22</v>
      </c>
      <c r="I56" s="1543">
        <v>23.5</v>
      </c>
      <c r="J56" s="1543">
        <v>24.5</v>
      </c>
      <c r="K56" s="1543">
        <v>25.5</v>
      </c>
      <c r="L56" s="1543">
        <v>26.5</v>
      </c>
      <c r="M56" s="1543">
        <f>IF($T$6="HP",M67-3,27.5)</f>
        <v>27.5</v>
      </c>
      <c r="N56" s="1543">
        <f>IF($T$6="HP",N67-3,28.5)</f>
        <v>28.5</v>
      </c>
      <c r="O56" s="1543">
        <f>IF($T$6="HP",O67-2,29)</f>
        <v>29</v>
      </c>
      <c r="P56" s="1543">
        <f>IF($T$6="HP",P67-2,29.5)</f>
        <v>29.5</v>
      </c>
      <c r="Q56" s="1543">
        <f>IF($T$6="HP",Q67-2,30)</f>
        <v>30</v>
      </c>
      <c r="R56" s="1543">
        <f>IF($T$6="HP",R67-2,30)</f>
        <v>30</v>
      </c>
      <c r="S56" s="1543">
        <f t="shared" ref="S56:X56" si="23">IF($T$6="HP",S67-2,30)</f>
        <v>30</v>
      </c>
      <c r="T56" s="1543">
        <f t="shared" si="23"/>
        <v>30</v>
      </c>
      <c r="U56" s="1543">
        <f t="shared" si="23"/>
        <v>30</v>
      </c>
      <c r="V56" s="1543">
        <f t="shared" si="23"/>
        <v>30</v>
      </c>
      <c r="W56" s="1543">
        <f t="shared" si="23"/>
        <v>30</v>
      </c>
      <c r="X56" s="1543">
        <f t="shared" si="23"/>
        <v>30</v>
      </c>
    </row>
    <row r="57" spans="2:25" s="82" customFormat="1" ht="22" customHeight="1">
      <c r="B57" s="1541" t="s">
        <v>453</v>
      </c>
      <c r="C57" s="1542" t="s">
        <v>260</v>
      </c>
      <c r="D57" s="1543">
        <f>IF($T$6="HP",D68-2,D68-2)</f>
        <v>11.8</v>
      </c>
      <c r="E57" s="1543">
        <f t="shared" ref="E57:X57" si="24">IF($T$6="HP",E68-2,E68-2)</f>
        <v>12.6</v>
      </c>
      <c r="F57" s="1543">
        <f t="shared" si="24"/>
        <v>13.2</v>
      </c>
      <c r="G57" s="1543">
        <f t="shared" si="24"/>
        <v>13.8</v>
      </c>
      <c r="H57" s="1543">
        <f t="shared" si="24"/>
        <v>14.3</v>
      </c>
      <c r="I57" s="1543">
        <f t="shared" si="24"/>
        <v>14.600000000000001</v>
      </c>
      <c r="J57" s="1543">
        <f t="shared" si="24"/>
        <v>14.899999999999999</v>
      </c>
      <c r="K57" s="1543">
        <f t="shared" si="24"/>
        <v>15</v>
      </c>
      <c r="L57" s="1543">
        <f t="shared" si="24"/>
        <v>15.100000000000001</v>
      </c>
      <c r="M57" s="1543">
        <f t="shared" si="24"/>
        <v>15.100000000000001</v>
      </c>
      <c r="N57" s="1543">
        <f t="shared" si="24"/>
        <v>15</v>
      </c>
      <c r="O57" s="1543">
        <f t="shared" si="24"/>
        <v>14.8</v>
      </c>
      <c r="P57" s="1543">
        <f t="shared" si="24"/>
        <v>14.5</v>
      </c>
      <c r="Q57" s="1543">
        <f t="shared" si="24"/>
        <v>14.100000000000001</v>
      </c>
      <c r="R57" s="1543">
        <f t="shared" si="24"/>
        <v>13.9</v>
      </c>
      <c r="S57" s="1543">
        <f t="shared" si="24"/>
        <v>13.1</v>
      </c>
      <c r="T57" s="1543">
        <f t="shared" si="24"/>
        <v>12.5</v>
      </c>
      <c r="U57" s="1543">
        <f t="shared" si="24"/>
        <v>11.8</v>
      </c>
      <c r="V57" s="1543">
        <f t="shared" si="24"/>
        <v>11</v>
      </c>
      <c r="W57" s="1543">
        <f t="shared" si="24"/>
        <v>10.199999999999999</v>
      </c>
      <c r="X57" s="1543">
        <f t="shared" si="24"/>
        <v>9.4</v>
      </c>
    </row>
    <row r="58" spans="2:25" s="82" customFormat="1" ht="22" customHeight="1">
      <c r="B58" s="1541" t="s">
        <v>14</v>
      </c>
      <c r="C58" s="1542" t="s">
        <v>261</v>
      </c>
      <c r="D58" s="1543">
        <f>$E$7</f>
        <v>13.4</v>
      </c>
      <c r="E58" s="1543">
        <f>$E$7</f>
        <v>13.4</v>
      </c>
      <c r="F58" s="1543">
        <f>$E$7</f>
        <v>13.4</v>
      </c>
      <c r="G58" s="1543">
        <f>$G$7</f>
        <v>13.2</v>
      </c>
      <c r="H58" s="1543">
        <f>$G$7</f>
        <v>13.2</v>
      </c>
      <c r="I58" s="1543">
        <f>$G$7</f>
        <v>13.2</v>
      </c>
      <c r="J58" s="1543">
        <f>$G$7</f>
        <v>13.2</v>
      </c>
      <c r="K58" s="1543">
        <f>$K$7</f>
        <v>13</v>
      </c>
      <c r="L58" s="1543">
        <f>$K$7</f>
        <v>13</v>
      </c>
      <c r="M58" s="1543">
        <f>$M$7</f>
        <v>13</v>
      </c>
      <c r="N58" s="1543">
        <f>$M$7</f>
        <v>13</v>
      </c>
      <c r="O58" s="1543">
        <f>$M$7</f>
        <v>13</v>
      </c>
      <c r="P58" s="1543">
        <f>$M$7</f>
        <v>13</v>
      </c>
      <c r="Q58" s="1543">
        <f>$Q$7</f>
        <v>13</v>
      </c>
      <c r="R58" s="1543">
        <f t="shared" ref="R58:X58" si="25">$Q$7</f>
        <v>13</v>
      </c>
      <c r="S58" s="1543">
        <f t="shared" si="25"/>
        <v>13</v>
      </c>
      <c r="T58" s="1543">
        <f t="shared" si="25"/>
        <v>13</v>
      </c>
      <c r="U58" s="1543">
        <f t="shared" si="25"/>
        <v>13</v>
      </c>
      <c r="V58" s="1543">
        <f t="shared" si="25"/>
        <v>13</v>
      </c>
      <c r="W58" s="1543">
        <f t="shared" si="25"/>
        <v>13</v>
      </c>
      <c r="X58" s="1543">
        <f t="shared" si="25"/>
        <v>13</v>
      </c>
      <c r="Y58" s="1801" t="s">
        <v>785</v>
      </c>
    </row>
    <row r="59" spans="2:25" s="75" customFormat="1" ht="22" customHeight="1">
      <c r="B59" s="97" t="s">
        <v>262</v>
      </c>
      <c r="C59" s="98" t="s">
        <v>669</v>
      </c>
      <c r="D59" s="96">
        <f>D56/D58</f>
        <v>1.1567164179104477</v>
      </c>
      <c r="E59" s="96">
        <f t="shared" ref="E59:X60" si="26">E56/E58</f>
        <v>1.3059701492537312</v>
      </c>
      <c r="F59" s="96">
        <f t="shared" si="26"/>
        <v>1.4179104477611939</v>
      </c>
      <c r="G59" s="96">
        <f t="shared" si="26"/>
        <v>1.5530303030303032</v>
      </c>
      <c r="H59" s="96">
        <f t="shared" si="26"/>
        <v>1.6666666666666667</v>
      </c>
      <c r="I59" s="96">
        <f t="shared" si="26"/>
        <v>1.7803030303030305</v>
      </c>
      <c r="J59" s="96">
        <f t="shared" si="26"/>
        <v>1.8560606060606062</v>
      </c>
      <c r="K59" s="96">
        <f t="shared" si="26"/>
        <v>1.9615384615384615</v>
      </c>
      <c r="L59" s="96">
        <f t="shared" si="26"/>
        <v>2.0384615384615383</v>
      </c>
      <c r="M59" s="96">
        <f t="shared" si="26"/>
        <v>2.1153846153846154</v>
      </c>
      <c r="N59" s="96">
        <f t="shared" si="26"/>
        <v>2.1923076923076925</v>
      </c>
      <c r="O59" s="96">
        <f t="shared" si="26"/>
        <v>2.2307692307692308</v>
      </c>
      <c r="P59" s="96">
        <f t="shared" si="26"/>
        <v>2.2692307692307692</v>
      </c>
      <c r="Q59" s="96">
        <f t="shared" si="26"/>
        <v>2.3076923076923075</v>
      </c>
      <c r="R59" s="96">
        <f t="shared" si="26"/>
        <v>2.3076923076923075</v>
      </c>
      <c r="S59" s="96">
        <f t="shared" si="26"/>
        <v>2.3076923076923075</v>
      </c>
      <c r="T59" s="96">
        <f t="shared" si="26"/>
        <v>2.3076923076923075</v>
      </c>
      <c r="U59" s="96">
        <f t="shared" si="26"/>
        <v>2.3076923076923075</v>
      </c>
      <c r="V59" s="96">
        <f t="shared" si="26"/>
        <v>2.3076923076923075</v>
      </c>
      <c r="W59" s="96">
        <f t="shared" si="26"/>
        <v>2.3076923076923075</v>
      </c>
      <c r="X59" s="96">
        <f t="shared" si="26"/>
        <v>2.3076923076923075</v>
      </c>
      <c r="Y59" s="1802"/>
    </row>
    <row r="60" spans="2:25" s="82" customFormat="1" ht="22" customHeight="1" thickBot="1">
      <c r="B60" s="79" t="s">
        <v>453</v>
      </c>
      <c r="C60" s="80" t="s">
        <v>263</v>
      </c>
      <c r="D60" s="81">
        <f>D57/D59</f>
        <v>10.201290322580647</v>
      </c>
      <c r="E60" s="81">
        <f t="shared" si="26"/>
        <v>9.6480000000000015</v>
      </c>
      <c r="F60" s="81">
        <f t="shared" si="26"/>
        <v>9.309473684210527</v>
      </c>
      <c r="G60" s="81">
        <f t="shared" si="26"/>
        <v>8.8858536585365844</v>
      </c>
      <c r="H60" s="81">
        <f t="shared" si="26"/>
        <v>8.58</v>
      </c>
      <c r="I60" s="81">
        <f t="shared" si="26"/>
        <v>8.2008510638297878</v>
      </c>
      <c r="J60" s="81">
        <f t="shared" si="26"/>
        <v>8.0277551020408158</v>
      </c>
      <c r="K60" s="81">
        <f t="shared" si="26"/>
        <v>7.6470588235294121</v>
      </c>
      <c r="L60" s="81">
        <f t="shared" si="26"/>
        <v>7.4075471698113216</v>
      </c>
      <c r="M60" s="81">
        <f t="shared" si="26"/>
        <v>7.1381818181818186</v>
      </c>
      <c r="N60" s="81">
        <f t="shared" si="26"/>
        <v>6.8421052631578938</v>
      </c>
      <c r="O60" s="81">
        <f t="shared" si="26"/>
        <v>6.63448275862069</v>
      </c>
      <c r="P60" s="81">
        <f t="shared" si="26"/>
        <v>6.3898305084745761</v>
      </c>
      <c r="Q60" s="81">
        <f t="shared" si="26"/>
        <v>6.1100000000000012</v>
      </c>
      <c r="R60" s="81">
        <f t="shared" si="26"/>
        <v>6.0233333333333343</v>
      </c>
      <c r="S60" s="81">
        <f t="shared" si="26"/>
        <v>5.6766666666666667</v>
      </c>
      <c r="T60" s="81">
        <f t="shared" si="26"/>
        <v>5.416666666666667</v>
      </c>
      <c r="U60" s="81">
        <f t="shared" si="26"/>
        <v>5.1133333333333342</v>
      </c>
      <c r="V60" s="81">
        <f t="shared" si="26"/>
        <v>4.7666666666666675</v>
      </c>
      <c r="W60" s="81">
        <f t="shared" si="26"/>
        <v>4.42</v>
      </c>
      <c r="X60" s="81">
        <f t="shared" si="26"/>
        <v>4.0733333333333341</v>
      </c>
      <c r="Y60" s="1803"/>
    </row>
    <row r="61" spans="2:25" s="75" customFormat="1" ht="22" customHeight="1" thickBot="1">
      <c r="B61" s="97" t="s">
        <v>471</v>
      </c>
      <c r="C61" s="98" t="s">
        <v>472</v>
      </c>
      <c r="D61" s="595">
        <f>D59/(D54/1000)</f>
        <v>1.9539128680919724</v>
      </c>
      <c r="E61" s="595">
        <f t="shared" ref="E61:X61" si="27">E59/(E54/1000)</f>
        <v>2.0566459043365848</v>
      </c>
      <c r="F61" s="595">
        <f t="shared" si="27"/>
        <v>2.1099857853589192</v>
      </c>
      <c r="G61" s="595">
        <f t="shared" si="27"/>
        <v>2.2028798624543309</v>
      </c>
      <c r="H61" s="595">
        <f t="shared" si="27"/>
        <v>2.2737608003638017</v>
      </c>
      <c r="I61" s="595">
        <f t="shared" si="27"/>
        <v>2.3548981882315219</v>
      </c>
      <c r="J61" s="595">
        <f t="shared" si="27"/>
        <v>2.3980111189413518</v>
      </c>
      <c r="K61" s="595">
        <f t="shared" si="27"/>
        <v>2.4924249828951224</v>
      </c>
      <c r="L61" s="595">
        <f t="shared" si="27"/>
        <v>2.5641025641025639</v>
      </c>
      <c r="M61" s="595">
        <f t="shared" si="27"/>
        <v>2.6508579140158086</v>
      </c>
      <c r="N61" s="595">
        <f t="shared" si="27"/>
        <v>2.7541553923463473</v>
      </c>
      <c r="O61" s="595">
        <f t="shared" si="27"/>
        <v>2.8273374280978842</v>
      </c>
      <c r="P61" s="595">
        <f t="shared" si="27"/>
        <v>2.9205029205029205</v>
      </c>
      <c r="Q61" s="595">
        <f t="shared" si="27"/>
        <v>3.0364372469635623</v>
      </c>
      <c r="R61" s="595">
        <f t="shared" si="27"/>
        <v>3.1311971610479072</v>
      </c>
      <c r="S61" s="595">
        <f t="shared" si="27"/>
        <v>3.2502708559046587</v>
      </c>
      <c r="T61" s="595">
        <f t="shared" si="27"/>
        <v>3.4036759700476509</v>
      </c>
      <c r="U61" s="595">
        <f t="shared" si="27"/>
        <v>3.6001440057602299</v>
      </c>
      <c r="V61" s="595">
        <f t="shared" si="27"/>
        <v>3.8525748041607808</v>
      </c>
      <c r="W61" s="595">
        <f t="shared" si="27"/>
        <v>4.1806020066889626</v>
      </c>
      <c r="X61" s="595">
        <f t="shared" si="27"/>
        <v>4.615384615384615</v>
      </c>
      <c r="Y61" s="596">
        <f>Y62/90</f>
        <v>2.7711034947517752</v>
      </c>
    </row>
    <row r="62" spans="2:25" s="75" customFormat="1" ht="22" customHeight="1" thickBot="1">
      <c r="B62" s="97" t="s">
        <v>521</v>
      </c>
      <c r="C62" s="98" t="s">
        <v>666</v>
      </c>
      <c r="D62" s="595">
        <f>D59*5/(D54/1000)</f>
        <v>9.769564340459862</v>
      </c>
      <c r="E62" s="595">
        <f t="shared" ref="E62:X62" si="28">E59*5/(E54/1000)</f>
        <v>10.283229521682923</v>
      </c>
      <c r="F62" s="595">
        <f t="shared" si="28"/>
        <v>10.549928926794598</v>
      </c>
      <c r="G62" s="595">
        <f t="shared" si="28"/>
        <v>11.014399312271655</v>
      </c>
      <c r="H62" s="595">
        <f t="shared" si="28"/>
        <v>11.36880400181901</v>
      </c>
      <c r="I62" s="595">
        <f t="shared" si="28"/>
        <v>11.774490941157609</v>
      </c>
      <c r="J62" s="595">
        <f t="shared" si="28"/>
        <v>11.990055594706758</v>
      </c>
      <c r="K62" s="595">
        <f t="shared" si="28"/>
        <v>12.462124914475611</v>
      </c>
      <c r="L62" s="595">
        <f t="shared" si="28"/>
        <v>12.820512820512819</v>
      </c>
      <c r="M62" s="595">
        <f t="shared" si="28"/>
        <v>13.254289570079044</v>
      </c>
      <c r="N62" s="595">
        <f t="shared" si="28"/>
        <v>13.770776961731737</v>
      </c>
      <c r="O62" s="595">
        <f t="shared" si="28"/>
        <v>14.136687140489421</v>
      </c>
      <c r="P62" s="595">
        <f t="shared" si="28"/>
        <v>14.602514602514603</v>
      </c>
      <c r="Q62" s="595">
        <f t="shared" si="28"/>
        <v>15.182186234817811</v>
      </c>
      <c r="R62" s="595">
        <f t="shared" si="28"/>
        <v>15.655985805239535</v>
      </c>
      <c r="S62" s="595">
        <f t="shared" si="28"/>
        <v>16.251354279523291</v>
      </c>
      <c r="T62" s="595">
        <f t="shared" si="28"/>
        <v>17.018379850238254</v>
      </c>
      <c r="U62" s="595">
        <f t="shared" si="28"/>
        <v>18.000720028801148</v>
      </c>
      <c r="V62" s="595">
        <f t="shared" si="28"/>
        <v>19.262874020803903</v>
      </c>
      <c r="W62" s="595">
        <f t="shared" si="28"/>
        <v>20.903010033444811</v>
      </c>
      <c r="X62" s="595">
        <f t="shared" si="28"/>
        <v>23.076923076923073</v>
      </c>
      <c r="Y62" s="597">
        <f>SUM(E62:V62)</f>
        <v>249.39931452765975</v>
      </c>
    </row>
    <row r="63" spans="2:25" ht="22" customHeight="1"/>
    <row r="64" spans="2:25" ht="22" customHeight="1">
      <c r="B64" s="72" t="s">
        <v>256</v>
      </c>
      <c r="C64" s="73" t="s">
        <v>257</v>
      </c>
      <c r="D64" s="1253">
        <v>25</v>
      </c>
      <c r="E64" s="74">
        <v>30</v>
      </c>
      <c r="F64" s="74">
        <v>35</v>
      </c>
      <c r="G64" s="74">
        <v>40</v>
      </c>
      <c r="H64" s="74">
        <v>45</v>
      </c>
      <c r="I64" s="74">
        <v>50</v>
      </c>
      <c r="J64" s="74">
        <v>55</v>
      </c>
      <c r="K64" s="74">
        <v>60</v>
      </c>
      <c r="L64" s="74">
        <v>65</v>
      </c>
      <c r="M64" s="74">
        <v>70</v>
      </c>
      <c r="N64" s="74">
        <v>75</v>
      </c>
      <c r="O64" s="74">
        <v>80</v>
      </c>
      <c r="P64" s="74">
        <v>85</v>
      </c>
      <c r="Q64" s="74">
        <v>90</v>
      </c>
      <c r="R64" s="74">
        <v>95</v>
      </c>
      <c r="S64" s="74">
        <v>100</v>
      </c>
      <c r="T64" s="74">
        <v>105</v>
      </c>
      <c r="U64" s="74">
        <v>110</v>
      </c>
      <c r="V64" s="74">
        <v>115</v>
      </c>
      <c r="W64" s="74">
        <v>120</v>
      </c>
      <c r="X64" s="1253">
        <v>125</v>
      </c>
      <c r="Y64" s="1801" t="s">
        <v>784</v>
      </c>
    </row>
    <row r="65" spans="2:25" ht="22" customHeight="1" thickBot="1">
      <c r="B65" s="76" t="s">
        <v>258</v>
      </c>
      <c r="C65" s="598">
        <f>ROUND(AVERAGE(E65:W65),-1)</f>
        <v>820</v>
      </c>
      <c r="D65" s="1254">
        <v>692</v>
      </c>
      <c r="E65" s="77">
        <v>735</v>
      </c>
      <c r="F65" s="77">
        <v>772</v>
      </c>
      <c r="G65" s="77">
        <v>805</v>
      </c>
      <c r="H65" s="77">
        <v>833</v>
      </c>
      <c r="I65" s="77">
        <v>856</v>
      </c>
      <c r="J65" s="77">
        <v>874</v>
      </c>
      <c r="K65" s="77">
        <v>887</v>
      </c>
      <c r="L65" s="77">
        <v>895</v>
      </c>
      <c r="M65" s="77">
        <v>898</v>
      </c>
      <c r="N65" s="77">
        <v>896</v>
      </c>
      <c r="O65" s="77">
        <v>889</v>
      </c>
      <c r="P65" s="77">
        <v>877</v>
      </c>
      <c r="Q65" s="77">
        <v>860</v>
      </c>
      <c r="R65" s="77">
        <v>837</v>
      </c>
      <c r="S65" s="77">
        <v>810</v>
      </c>
      <c r="T65" s="77">
        <v>778</v>
      </c>
      <c r="U65" s="77">
        <v>741</v>
      </c>
      <c r="V65" s="77">
        <v>699</v>
      </c>
      <c r="W65" s="77">
        <v>652</v>
      </c>
      <c r="X65" s="1254">
        <v>600</v>
      </c>
      <c r="Y65" s="1807"/>
    </row>
    <row r="66" spans="2:25" ht="22" customHeight="1" thickBot="1">
      <c r="B66" s="1251" t="s">
        <v>782</v>
      </c>
      <c r="C66" s="1252" t="s">
        <v>783</v>
      </c>
      <c r="D66" s="1256">
        <f t="shared" ref="D66:X66" si="29">5/D65*1000</f>
        <v>7.2254335260115603</v>
      </c>
      <c r="E66" s="1257">
        <f t="shared" si="29"/>
        <v>6.8027210884353737</v>
      </c>
      <c r="F66" s="1257">
        <f t="shared" si="29"/>
        <v>6.4766839378238341</v>
      </c>
      <c r="G66" s="1257">
        <f t="shared" si="29"/>
        <v>6.2111801242236018</v>
      </c>
      <c r="H66" s="1257">
        <f t="shared" si="29"/>
        <v>6.0024009603841542</v>
      </c>
      <c r="I66" s="1257">
        <f t="shared" si="29"/>
        <v>5.8411214953271022</v>
      </c>
      <c r="J66" s="1257">
        <f t="shared" si="29"/>
        <v>5.7208237986270021</v>
      </c>
      <c r="K66" s="1257">
        <f t="shared" si="29"/>
        <v>5.636978579481398</v>
      </c>
      <c r="L66" s="1257">
        <f t="shared" si="29"/>
        <v>5.5865921787709496</v>
      </c>
      <c r="M66" s="1257">
        <f t="shared" si="29"/>
        <v>5.5679287305122491</v>
      </c>
      <c r="N66" s="1257">
        <f t="shared" si="29"/>
        <v>5.5803571428571432</v>
      </c>
      <c r="O66" s="1257">
        <f t="shared" si="29"/>
        <v>5.6242969628796393</v>
      </c>
      <c r="P66" s="1257">
        <f t="shared" si="29"/>
        <v>5.7012542759407072</v>
      </c>
      <c r="Q66" s="1257">
        <f t="shared" si="29"/>
        <v>5.8139534883720927</v>
      </c>
      <c r="R66" s="1257">
        <f t="shared" si="29"/>
        <v>5.9737156511350067</v>
      </c>
      <c r="S66" s="1257">
        <f t="shared" si="29"/>
        <v>6.1728395061728394</v>
      </c>
      <c r="T66" s="1257">
        <f t="shared" si="29"/>
        <v>6.4267352185089974</v>
      </c>
      <c r="U66" s="1257">
        <f t="shared" si="29"/>
        <v>6.7476383265856956</v>
      </c>
      <c r="V66" s="1257">
        <f t="shared" si="29"/>
        <v>7.1530758226037197</v>
      </c>
      <c r="W66" s="1258">
        <f t="shared" si="29"/>
        <v>7.6687116564417179</v>
      </c>
      <c r="X66" s="1259">
        <f t="shared" si="29"/>
        <v>8.3333333333333339</v>
      </c>
      <c r="Y66" s="1255">
        <f>ROUND(SUM(E66:V66),0)</f>
        <v>109</v>
      </c>
    </row>
    <row r="67" spans="2:25" ht="22" customHeight="1">
      <c r="B67" s="1541" t="s">
        <v>14</v>
      </c>
      <c r="C67" s="1542" t="s">
        <v>259</v>
      </c>
      <c r="D67" s="1543">
        <v>17</v>
      </c>
      <c r="E67" s="1543">
        <v>19</v>
      </c>
      <c r="F67" s="1543">
        <v>20.5</v>
      </c>
      <c r="G67" s="1543">
        <v>22</v>
      </c>
      <c r="H67" s="1543">
        <v>24</v>
      </c>
      <c r="I67" s="1543">
        <v>25</v>
      </c>
      <c r="J67" s="1543">
        <v>26.5</v>
      </c>
      <c r="K67" s="1543">
        <v>27.5</v>
      </c>
      <c r="L67" s="1543">
        <v>28.5</v>
      </c>
      <c r="M67" s="1543">
        <f>IF($T$6="HP",31,29.5)</f>
        <v>29.5</v>
      </c>
      <c r="N67" s="1543">
        <f>IF($T$6="HP",31,30.5)</f>
        <v>30.5</v>
      </c>
      <c r="O67" s="1543">
        <f>IF($T$6="HP",32.8,31)</f>
        <v>31</v>
      </c>
      <c r="P67" s="1543">
        <f>IF($T$6="HP",31.2,31.5)</f>
        <v>31.5</v>
      </c>
      <c r="Q67" s="1543">
        <f>IF($T$6="HP",32.2,32)</f>
        <v>32</v>
      </c>
      <c r="R67" s="1543">
        <f>IF($T$6="HP",31.8,32)</f>
        <v>32</v>
      </c>
      <c r="S67" s="1543">
        <f>IF($T$6="HP",32.2,32)</f>
        <v>32</v>
      </c>
      <c r="T67" s="1543">
        <f>IF($T$6="HP",32.4,32)</f>
        <v>32</v>
      </c>
      <c r="U67" s="1543">
        <f>IF($T$6="HP",30.8,32)</f>
        <v>32</v>
      </c>
      <c r="V67" s="1543">
        <f>IF($T$6="HP",30,32)</f>
        <v>32</v>
      </c>
      <c r="W67" s="1543">
        <f>IF($T$6="HP",30,32)</f>
        <v>32</v>
      </c>
      <c r="X67" s="1543">
        <f>IF($T$6="HP",29,32)</f>
        <v>32</v>
      </c>
      <c r="Y67" s="82"/>
    </row>
    <row r="68" spans="2:25" ht="22" customHeight="1">
      <c r="B68" s="1541" t="s">
        <v>453</v>
      </c>
      <c r="C68" s="1542" t="s">
        <v>260</v>
      </c>
      <c r="D68" s="1543">
        <f>IF($T$6="HP",14.19,13.8)</f>
        <v>13.8</v>
      </c>
      <c r="E68" s="1543">
        <f>IF($T$6="HP",15.1,14.6)</f>
        <v>14.6</v>
      </c>
      <c r="F68" s="1543">
        <f>IF($T$6="HP",15.89,15.2)</f>
        <v>15.2</v>
      </c>
      <c r="G68" s="1543">
        <f>IF($T$6="HP",16.6,15.8)</f>
        <v>15.8</v>
      </c>
      <c r="H68" s="1543">
        <f>IF($T$6="HP",17.21,16.3)</f>
        <v>16.3</v>
      </c>
      <c r="I68" s="1543">
        <f>IF($T$6="HP",17.72,16.6)</f>
        <v>16.600000000000001</v>
      </c>
      <c r="J68" s="1543">
        <f>IF($T$6="HP",18.05,16.9)</f>
        <v>16.899999999999999</v>
      </c>
      <c r="K68" s="1543">
        <f>IF($T$6="HP",18.44,17)</f>
        <v>17</v>
      </c>
      <c r="L68" s="1543">
        <f>IF($T$6="HP",18.65,17.1)</f>
        <v>17.100000000000001</v>
      </c>
      <c r="M68" s="1543">
        <f>IF($T$6="HP",18.76,17.1)</f>
        <v>17.100000000000001</v>
      </c>
      <c r="N68" s="1543">
        <f>IF($T$6="HP",18.77,17)</f>
        <v>17</v>
      </c>
      <c r="O68" s="1543">
        <f>IF($T$6="HP",18.68,16.8)</f>
        <v>16.8</v>
      </c>
      <c r="P68" s="1543">
        <f>IF($T$6="HP",18.49,16.5)</f>
        <v>16.5</v>
      </c>
      <c r="Q68" s="1543">
        <f>IF($T$6="HP",18.2,16.1)</f>
        <v>16.100000000000001</v>
      </c>
      <c r="R68" s="1543">
        <f>IF($T$6="HP",17.79,15.9)</f>
        <v>15.9</v>
      </c>
      <c r="S68" s="1543">
        <f>IF($T$6="HP",17.3,15.1)</f>
        <v>15.1</v>
      </c>
      <c r="T68" s="1543">
        <f>IF($T$6="HP",16.71,14.5)</f>
        <v>14.5</v>
      </c>
      <c r="U68" s="1543">
        <f>IF($T$6="HP",16.02,13.8)</f>
        <v>13.8</v>
      </c>
      <c r="V68" s="1543">
        <f>IF($T$6="HP",15.23,13)</f>
        <v>13</v>
      </c>
      <c r="W68" s="1543">
        <f>IF($T$6="HP",14.24,12.2)</f>
        <v>12.2</v>
      </c>
      <c r="X68" s="1543">
        <f>IF($T$6="HP",13.35,11.4)</f>
        <v>11.4</v>
      </c>
      <c r="Y68" s="82"/>
    </row>
    <row r="69" spans="2:25" ht="22" customHeight="1">
      <c r="B69" s="1541" t="s">
        <v>14</v>
      </c>
      <c r="C69" s="1542" t="s">
        <v>261</v>
      </c>
      <c r="D69" s="1543">
        <f>$E$7</f>
        <v>13.4</v>
      </c>
      <c r="E69" s="1543">
        <f>$E$7</f>
        <v>13.4</v>
      </c>
      <c r="F69" s="1543">
        <f>$E$7</f>
        <v>13.4</v>
      </c>
      <c r="G69" s="1543">
        <f>$G$7</f>
        <v>13.2</v>
      </c>
      <c r="H69" s="1543">
        <f>$G$7</f>
        <v>13.2</v>
      </c>
      <c r="I69" s="1543">
        <f>$G$7</f>
        <v>13.2</v>
      </c>
      <c r="J69" s="1543">
        <f>$G$7</f>
        <v>13.2</v>
      </c>
      <c r="K69" s="1543">
        <f>$K$7</f>
        <v>13</v>
      </c>
      <c r="L69" s="1543">
        <f>$K$7</f>
        <v>13</v>
      </c>
      <c r="M69" s="1543">
        <f>$M$7</f>
        <v>13</v>
      </c>
      <c r="N69" s="1543">
        <f>$M$7</f>
        <v>13</v>
      </c>
      <c r="O69" s="1543">
        <f>$M$7</f>
        <v>13</v>
      </c>
      <c r="P69" s="1543">
        <f>$M$7</f>
        <v>13</v>
      </c>
      <c r="Q69" s="1543">
        <f>$Q$7</f>
        <v>13</v>
      </c>
      <c r="R69" s="1543">
        <f t="shared" ref="R69:X69" si="30">$Q$7</f>
        <v>13</v>
      </c>
      <c r="S69" s="1543">
        <f t="shared" si="30"/>
        <v>13</v>
      </c>
      <c r="T69" s="1543">
        <f t="shared" si="30"/>
        <v>13</v>
      </c>
      <c r="U69" s="1543">
        <f t="shared" si="30"/>
        <v>13</v>
      </c>
      <c r="V69" s="1543">
        <f t="shared" si="30"/>
        <v>13</v>
      </c>
      <c r="W69" s="1543">
        <f t="shared" si="30"/>
        <v>13</v>
      </c>
      <c r="X69" s="1543">
        <f t="shared" si="30"/>
        <v>13</v>
      </c>
      <c r="Y69" s="1801" t="s">
        <v>785</v>
      </c>
    </row>
    <row r="70" spans="2:25" s="17" customFormat="1" ht="22" customHeight="1">
      <c r="B70" s="97" t="s">
        <v>262</v>
      </c>
      <c r="C70" s="98" t="s">
        <v>669</v>
      </c>
      <c r="D70" s="96">
        <f t="shared" ref="D70:W71" si="31">D67/D69</f>
        <v>1.2686567164179103</v>
      </c>
      <c r="E70" s="96">
        <f t="shared" si="31"/>
        <v>1.4179104477611939</v>
      </c>
      <c r="F70" s="96">
        <f t="shared" si="31"/>
        <v>1.5298507462686566</v>
      </c>
      <c r="G70" s="96">
        <f t="shared" si="31"/>
        <v>1.6666666666666667</v>
      </c>
      <c r="H70" s="96">
        <f t="shared" si="31"/>
        <v>1.8181818181818183</v>
      </c>
      <c r="I70" s="96">
        <f t="shared" si="31"/>
        <v>1.893939393939394</v>
      </c>
      <c r="J70" s="96">
        <f t="shared" si="31"/>
        <v>2.0075757575757578</v>
      </c>
      <c r="K70" s="96">
        <f t="shared" si="31"/>
        <v>2.1153846153846154</v>
      </c>
      <c r="L70" s="96">
        <f t="shared" si="31"/>
        <v>2.1923076923076925</v>
      </c>
      <c r="M70" s="96">
        <f t="shared" si="31"/>
        <v>2.2692307692307692</v>
      </c>
      <c r="N70" s="96">
        <f t="shared" si="31"/>
        <v>2.3461538461538463</v>
      </c>
      <c r="O70" s="96">
        <f t="shared" si="31"/>
        <v>2.3846153846153846</v>
      </c>
      <c r="P70" s="96">
        <f t="shared" si="31"/>
        <v>2.4230769230769229</v>
      </c>
      <c r="Q70" s="96">
        <f t="shared" si="31"/>
        <v>2.4615384615384617</v>
      </c>
      <c r="R70" s="96">
        <f t="shared" si="31"/>
        <v>2.4615384615384617</v>
      </c>
      <c r="S70" s="96">
        <f t="shared" si="31"/>
        <v>2.4615384615384617</v>
      </c>
      <c r="T70" s="96">
        <f t="shared" si="31"/>
        <v>2.4615384615384617</v>
      </c>
      <c r="U70" s="96">
        <f t="shared" si="31"/>
        <v>2.4615384615384617</v>
      </c>
      <c r="V70" s="96">
        <f t="shared" si="31"/>
        <v>2.4615384615384617</v>
      </c>
      <c r="W70" s="96">
        <f t="shared" si="31"/>
        <v>2.4615384615384617</v>
      </c>
      <c r="X70" s="96">
        <f>X67/X69</f>
        <v>2.4615384615384617</v>
      </c>
      <c r="Y70" s="1802"/>
    </row>
    <row r="71" spans="2:25" ht="22" customHeight="1" thickBot="1">
      <c r="B71" s="79" t="s">
        <v>453</v>
      </c>
      <c r="C71" s="80" t="s">
        <v>263</v>
      </c>
      <c r="D71" s="81">
        <f t="shared" si="31"/>
        <v>10.877647058823531</v>
      </c>
      <c r="E71" s="81">
        <f t="shared" si="31"/>
        <v>10.296842105263158</v>
      </c>
      <c r="F71" s="81">
        <f t="shared" si="31"/>
        <v>9.9356097560975609</v>
      </c>
      <c r="G71" s="81">
        <f t="shared" si="31"/>
        <v>9.48</v>
      </c>
      <c r="H71" s="81">
        <f t="shared" si="31"/>
        <v>8.9649999999999999</v>
      </c>
      <c r="I71" s="81">
        <f t="shared" si="31"/>
        <v>8.764800000000001</v>
      </c>
      <c r="J71" s="81">
        <f t="shared" si="31"/>
        <v>8.4181132075471687</v>
      </c>
      <c r="K71" s="81">
        <f t="shared" si="31"/>
        <v>8.036363636363637</v>
      </c>
      <c r="L71" s="81">
        <f t="shared" si="31"/>
        <v>7.8</v>
      </c>
      <c r="M71" s="81">
        <f t="shared" si="31"/>
        <v>7.5355932203389839</v>
      </c>
      <c r="N71" s="81">
        <f t="shared" si="31"/>
        <v>7.2459016393442619</v>
      </c>
      <c r="O71" s="81">
        <f t="shared" si="31"/>
        <v>7.0451612903225813</v>
      </c>
      <c r="P71" s="81">
        <f t="shared" si="31"/>
        <v>6.8095238095238102</v>
      </c>
      <c r="Q71" s="81">
        <f t="shared" si="31"/>
        <v>6.5406250000000004</v>
      </c>
      <c r="R71" s="81">
        <f t="shared" si="31"/>
        <v>6.4593749999999996</v>
      </c>
      <c r="S71" s="81">
        <f t="shared" si="31"/>
        <v>6.1343749999999995</v>
      </c>
      <c r="T71" s="81">
        <f t="shared" si="31"/>
        <v>5.890625</v>
      </c>
      <c r="U71" s="81">
        <f t="shared" si="31"/>
        <v>5.6062500000000002</v>
      </c>
      <c r="V71" s="81">
        <f t="shared" si="31"/>
        <v>5.28125</v>
      </c>
      <c r="W71" s="81">
        <f t="shared" si="31"/>
        <v>4.9562499999999998</v>
      </c>
      <c r="X71" s="81">
        <f>X68/X70</f>
        <v>4.6312499999999996</v>
      </c>
      <c r="Y71" s="1803"/>
    </row>
    <row r="72" spans="2:25" s="75" customFormat="1" ht="22" customHeight="1" thickBot="1">
      <c r="B72" s="97" t="s">
        <v>471</v>
      </c>
      <c r="C72" s="98" t="s">
        <v>472</v>
      </c>
      <c r="D72" s="595">
        <f>D70/(D65/1000)</f>
        <v>1.8333189543611423</v>
      </c>
      <c r="E72" s="595">
        <f t="shared" ref="E72:X72" si="32">E70/(E65/1000)</f>
        <v>1.9291298608995835</v>
      </c>
      <c r="F72" s="595">
        <f t="shared" si="32"/>
        <v>1.9816719511252028</v>
      </c>
      <c r="G72" s="595">
        <f t="shared" si="32"/>
        <v>2.0703933747412009</v>
      </c>
      <c r="H72" s="595">
        <f t="shared" si="32"/>
        <v>2.1826912583215106</v>
      </c>
      <c r="I72" s="595">
        <f t="shared" si="32"/>
        <v>2.2125460209572361</v>
      </c>
      <c r="J72" s="595">
        <f t="shared" si="32"/>
        <v>2.2969974342972059</v>
      </c>
      <c r="K72" s="595">
        <f t="shared" si="32"/>
        <v>2.3848755528575145</v>
      </c>
      <c r="L72" s="595">
        <f t="shared" si="32"/>
        <v>2.4495058014611089</v>
      </c>
      <c r="M72" s="595">
        <f t="shared" si="32"/>
        <v>2.5269830392324821</v>
      </c>
      <c r="N72" s="595">
        <f t="shared" si="32"/>
        <v>2.6184752747252746</v>
      </c>
      <c r="O72" s="595">
        <f t="shared" si="32"/>
        <v>2.6823570130656744</v>
      </c>
      <c r="P72" s="595">
        <f t="shared" si="32"/>
        <v>2.7629155337251117</v>
      </c>
      <c r="Q72" s="595">
        <f t="shared" si="32"/>
        <v>2.8622540250447228</v>
      </c>
      <c r="R72" s="595">
        <f t="shared" si="32"/>
        <v>2.9409061667126184</v>
      </c>
      <c r="S72" s="595">
        <f t="shared" si="32"/>
        <v>3.0389363722697054</v>
      </c>
      <c r="T72" s="595">
        <f t="shared" si="32"/>
        <v>3.1639311844967373</v>
      </c>
      <c r="U72" s="595">
        <f t="shared" si="32"/>
        <v>3.3219142530883423</v>
      </c>
      <c r="V72" s="595">
        <f t="shared" si="32"/>
        <v>3.5215142511279853</v>
      </c>
      <c r="W72" s="595">
        <f t="shared" si="32"/>
        <v>3.7753657385559225</v>
      </c>
      <c r="X72" s="595">
        <f t="shared" si="32"/>
        <v>4.1025641025641031</v>
      </c>
      <c r="Y72" s="596">
        <f>Y73/90</f>
        <v>2.6082221315638452</v>
      </c>
    </row>
    <row r="73" spans="2:25" s="75" customFormat="1" ht="22" customHeight="1" thickBot="1">
      <c r="B73" s="97" t="s">
        <v>521</v>
      </c>
      <c r="C73" s="98" t="s">
        <v>666</v>
      </c>
      <c r="D73" s="595">
        <f>D70*5/(D65/1000)</f>
        <v>9.1665947718057108</v>
      </c>
      <c r="E73" s="595">
        <f t="shared" ref="E73:X73" si="33">E70*5/(E65/1000)</f>
        <v>9.645649304497919</v>
      </c>
      <c r="F73" s="595">
        <f t="shared" si="33"/>
        <v>9.9083597556260141</v>
      </c>
      <c r="G73" s="595">
        <f t="shared" si="33"/>
        <v>10.351966873706004</v>
      </c>
      <c r="H73" s="595">
        <f t="shared" si="33"/>
        <v>10.913456291607554</v>
      </c>
      <c r="I73" s="595">
        <f t="shared" si="33"/>
        <v>11.062730104786182</v>
      </c>
      <c r="J73" s="595">
        <f t="shared" si="33"/>
        <v>11.484987171486029</v>
      </c>
      <c r="K73" s="595">
        <f t="shared" si="33"/>
        <v>11.924377764287572</v>
      </c>
      <c r="L73" s="595">
        <f t="shared" si="33"/>
        <v>12.247529007305545</v>
      </c>
      <c r="M73" s="595">
        <f t="shared" si="33"/>
        <v>12.634915196162412</v>
      </c>
      <c r="N73" s="595">
        <f t="shared" si="33"/>
        <v>13.092376373626374</v>
      </c>
      <c r="O73" s="595">
        <f t="shared" si="33"/>
        <v>13.411785065328372</v>
      </c>
      <c r="P73" s="595">
        <f t="shared" si="33"/>
        <v>13.814577668625558</v>
      </c>
      <c r="Q73" s="595">
        <f t="shared" si="33"/>
        <v>14.311270125223615</v>
      </c>
      <c r="R73" s="595">
        <f t="shared" si="33"/>
        <v>14.704530833563092</v>
      </c>
      <c r="S73" s="595">
        <f t="shared" si="33"/>
        <v>15.194681861348528</v>
      </c>
      <c r="T73" s="595">
        <f t="shared" si="33"/>
        <v>15.819655922483687</v>
      </c>
      <c r="U73" s="595">
        <f t="shared" si="33"/>
        <v>16.609571265441712</v>
      </c>
      <c r="V73" s="595">
        <f t="shared" si="33"/>
        <v>17.607571255639929</v>
      </c>
      <c r="W73" s="595">
        <f t="shared" si="33"/>
        <v>18.876828692779615</v>
      </c>
      <c r="X73" s="595">
        <f t="shared" si="33"/>
        <v>20.512820512820515</v>
      </c>
      <c r="Y73" s="597">
        <f>SUM(E73:V73)</f>
        <v>234.73999184074609</v>
      </c>
    </row>
    <row r="74" spans="2:25" ht="22" customHeight="1"/>
    <row r="75" spans="2:25" ht="22" customHeight="1">
      <c r="B75" s="72" t="s">
        <v>256</v>
      </c>
      <c r="C75" s="73" t="s">
        <v>257</v>
      </c>
      <c r="D75" s="1253">
        <v>25</v>
      </c>
      <c r="E75" s="74">
        <v>30</v>
      </c>
      <c r="F75" s="74">
        <v>35</v>
      </c>
      <c r="G75" s="74">
        <v>40</v>
      </c>
      <c r="H75" s="74">
        <v>45</v>
      </c>
      <c r="I75" s="74">
        <v>50</v>
      </c>
      <c r="J75" s="74">
        <v>55</v>
      </c>
      <c r="K75" s="74">
        <v>60</v>
      </c>
      <c r="L75" s="74">
        <v>65</v>
      </c>
      <c r="M75" s="74">
        <v>70</v>
      </c>
      <c r="N75" s="74">
        <v>75</v>
      </c>
      <c r="O75" s="74">
        <v>80</v>
      </c>
      <c r="P75" s="74">
        <v>85</v>
      </c>
      <c r="Q75" s="74">
        <v>90</v>
      </c>
      <c r="R75" s="74">
        <v>95</v>
      </c>
      <c r="S75" s="74">
        <v>100</v>
      </c>
      <c r="T75" s="74">
        <v>105</v>
      </c>
      <c r="U75" s="74">
        <v>110</v>
      </c>
      <c r="V75" s="74">
        <v>115</v>
      </c>
      <c r="W75" s="74">
        <v>120</v>
      </c>
      <c r="X75" s="1253">
        <v>125</v>
      </c>
      <c r="Y75" s="1801" t="s">
        <v>784</v>
      </c>
    </row>
    <row r="76" spans="2:25" ht="22" customHeight="1" thickBot="1">
      <c r="B76" s="76" t="s">
        <v>258</v>
      </c>
      <c r="C76" s="598">
        <f>ROUND(AVERAGE(E76:W76),-1)</f>
        <v>920</v>
      </c>
      <c r="D76" s="1254">
        <f>D65+100</f>
        <v>792</v>
      </c>
      <c r="E76" s="77">
        <f>E65+100</f>
        <v>835</v>
      </c>
      <c r="F76" s="77">
        <f t="shared" ref="F76:X76" si="34">F65+100</f>
        <v>872</v>
      </c>
      <c r="G76" s="77">
        <f t="shared" si="34"/>
        <v>905</v>
      </c>
      <c r="H76" s="77">
        <f t="shared" si="34"/>
        <v>933</v>
      </c>
      <c r="I76" s="77">
        <f t="shared" si="34"/>
        <v>956</v>
      </c>
      <c r="J76" s="77">
        <f t="shared" si="34"/>
        <v>974</v>
      </c>
      <c r="K76" s="77">
        <f t="shared" si="34"/>
        <v>987</v>
      </c>
      <c r="L76" s="77">
        <f t="shared" si="34"/>
        <v>995</v>
      </c>
      <c r="M76" s="77">
        <f t="shared" si="34"/>
        <v>998</v>
      </c>
      <c r="N76" s="77">
        <f t="shared" si="34"/>
        <v>996</v>
      </c>
      <c r="O76" s="77">
        <f t="shared" si="34"/>
        <v>989</v>
      </c>
      <c r="P76" s="77">
        <f t="shared" si="34"/>
        <v>977</v>
      </c>
      <c r="Q76" s="77">
        <f t="shared" si="34"/>
        <v>960</v>
      </c>
      <c r="R76" s="77">
        <f t="shared" si="34"/>
        <v>937</v>
      </c>
      <c r="S76" s="77">
        <f t="shared" si="34"/>
        <v>910</v>
      </c>
      <c r="T76" s="77">
        <f t="shared" si="34"/>
        <v>878</v>
      </c>
      <c r="U76" s="77">
        <f t="shared" si="34"/>
        <v>841</v>
      </c>
      <c r="V76" s="77">
        <f t="shared" si="34"/>
        <v>799</v>
      </c>
      <c r="W76" s="77">
        <f t="shared" si="34"/>
        <v>752</v>
      </c>
      <c r="X76" s="1254">
        <f t="shared" si="34"/>
        <v>700</v>
      </c>
      <c r="Y76" s="1807"/>
    </row>
    <row r="77" spans="2:25" ht="22" customHeight="1" thickBot="1">
      <c r="B77" s="1251" t="s">
        <v>782</v>
      </c>
      <c r="C77" s="1252" t="s">
        <v>783</v>
      </c>
      <c r="D77" s="1256">
        <f t="shared" ref="D77:X77" si="35">5/D76*1000</f>
        <v>6.3131313131313131</v>
      </c>
      <c r="E77" s="1257">
        <f t="shared" si="35"/>
        <v>5.9880239520958085</v>
      </c>
      <c r="F77" s="1257">
        <f t="shared" si="35"/>
        <v>5.7339449541284404</v>
      </c>
      <c r="G77" s="1257">
        <f t="shared" si="35"/>
        <v>5.5248618784530388</v>
      </c>
      <c r="H77" s="1257">
        <f t="shared" si="35"/>
        <v>5.359056806002144</v>
      </c>
      <c r="I77" s="1257">
        <f t="shared" si="35"/>
        <v>5.2301255230125516</v>
      </c>
      <c r="J77" s="1257">
        <f t="shared" si="35"/>
        <v>5.1334702258726894</v>
      </c>
      <c r="K77" s="1257">
        <f t="shared" si="35"/>
        <v>5.0658561296859173</v>
      </c>
      <c r="L77" s="1257">
        <f t="shared" si="35"/>
        <v>5.025125628140704</v>
      </c>
      <c r="M77" s="1257">
        <f t="shared" si="35"/>
        <v>5.0100200400801604</v>
      </c>
      <c r="N77" s="1257">
        <f t="shared" si="35"/>
        <v>5.0200803212851408</v>
      </c>
      <c r="O77" s="1257">
        <f t="shared" si="35"/>
        <v>5.0556117290192111</v>
      </c>
      <c r="P77" s="1257">
        <f t="shared" si="35"/>
        <v>5.1177072671443193</v>
      </c>
      <c r="Q77" s="1257">
        <f t="shared" si="35"/>
        <v>5.208333333333333</v>
      </c>
      <c r="R77" s="1257">
        <f t="shared" si="35"/>
        <v>5.3361792956243335</v>
      </c>
      <c r="S77" s="1257">
        <f t="shared" si="35"/>
        <v>5.4945054945054945</v>
      </c>
      <c r="T77" s="1257">
        <f t="shared" si="35"/>
        <v>5.6947608200455582</v>
      </c>
      <c r="U77" s="1257">
        <f t="shared" si="35"/>
        <v>5.9453032104637336</v>
      </c>
      <c r="V77" s="1257">
        <f t="shared" si="35"/>
        <v>6.2578222778473087</v>
      </c>
      <c r="W77" s="1258">
        <f t="shared" si="35"/>
        <v>6.6489361702127656</v>
      </c>
      <c r="X77" s="1259">
        <f t="shared" si="35"/>
        <v>7.1428571428571423</v>
      </c>
      <c r="Y77" s="1255">
        <f>ROUND(SUM(E77:V77),0)</f>
        <v>97</v>
      </c>
    </row>
    <row r="78" spans="2:25" ht="22" customHeight="1">
      <c r="B78" s="1541" t="s">
        <v>14</v>
      </c>
      <c r="C78" s="1542" t="s">
        <v>259</v>
      </c>
      <c r="D78" s="1543">
        <v>18.5</v>
      </c>
      <c r="E78" s="1543">
        <v>20.5</v>
      </c>
      <c r="F78" s="1543">
        <v>22.5</v>
      </c>
      <c r="G78" s="1543">
        <v>24</v>
      </c>
      <c r="H78" s="1543">
        <v>25.5</v>
      </c>
      <c r="I78" s="1543">
        <v>27</v>
      </c>
      <c r="J78" s="1543">
        <v>28</v>
      </c>
      <c r="K78" s="1543">
        <v>29.5</v>
      </c>
      <c r="L78" s="1543">
        <v>30.5</v>
      </c>
      <c r="M78" s="1543">
        <f>IF($T$6="HP",M67+3,31.5)</f>
        <v>31.5</v>
      </c>
      <c r="N78" s="1543">
        <f>IF($T$6="HP",N67+3,32.5)</f>
        <v>32.5</v>
      </c>
      <c r="O78" s="1543">
        <f>IF($T$6="HP",O67+2,33)</f>
        <v>33</v>
      </c>
      <c r="P78" s="1543">
        <f>IF($T$6="HP",P67+2,33.5)</f>
        <v>33.5</v>
      </c>
      <c r="Q78" s="1543">
        <f>IF($T$6="HP",Q67+2,34)</f>
        <v>34</v>
      </c>
      <c r="R78" s="1543">
        <f t="shared" ref="R78:X78" si="36">IF($T$6="HP",R67+2,34.5)</f>
        <v>34.5</v>
      </c>
      <c r="S78" s="1543">
        <f t="shared" si="36"/>
        <v>34.5</v>
      </c>
      <c r="T78" s="1543">
        <f t="shared" si="36"/>
        <v>34.5</v>
      </c>
      <c r="U78" s="1543">
        <f t="shared" si="36"/>
        <v>34.5</v>
      </c>
      <c r="V78" s="1543">
        <f t="shared" si="36"/>
        <v>34.5</v>
      </c>
      <c r="W78" s="1543">
        <f t="shared" si="36"/>
        <v>34.5</v>
      </c>
      <c r="X78" s="1543">
        <f t="shared" si="36"/>
        <v>34.5</v>
      </c>
      <c r="Y78" s="82"/>
    </row>
    <row r="79" spans="2:25" ht="22" customHeight="1">
      <c r="B79" s="1541" t="s">
        <v>453</v>
      </c>
      <c r="C79" s="1542" t="s">
        <v>260</v>
      </c>
      <c r="D79" s="1543">
        <f>IF($T$6="HP",D68+2,D68+2)</f>
        <v>15.8</v>
      </c>
      <c r="E79" s="1543">
        <f t="shared" ref="E79:X79" si="37">IF($T$6="HP",E68+2,E68+2)</f>
        <v>16.600000000000001</v>
      </c>
      <c r="F79" s="1543">
        <f t="shared" si="37"/>
        <v>17.2</v>
      </c>
      <c r="G79" s="1543">
        <f t="shared" si="37"/>
        <v>17.8</v>
      </c>
      <c r="H79" s="1543">
        <f t="shared" si="37"/>
        <v>18.3</v>
      </c>
      <c r="I79" s="1543">
        <f t="shared" si="37"/>
        <v>18.600000000000001</v>
      </c>
      <c r="J79" s="1543">
        <f t="shared" si="37"/>
        <v>18.899999999999999</v>
      </c>
      <c r="K79" s="1543">
        <f t="shared" si="37"/>
        <v>19</v>
      </c>
      <c r="L79" s="1543">
        <f t="shared" si="37"/>
        <v>19.100000000000001</v>
      </c>
      <c r="M79" s="1543">
        <f t="shared" si="37"/>
        <v>19.100000000000001</v>
      </c>
      <c r="N79" s="1543">
        <f t="shared" si="37"/>
        <v>19</v>
      </c>
      <c r="O79" s="1543">
        <f t="shared" si="37"/>
        <v>18.8</v>
      </c>
      <c r="P79" s="1543">
        <f t="shared" si="37"/>
        <v>18.5</v>
      </c>
      <c r="Q79" s="1543">
        <f t="shared" si="37"/>
        <v>18.100000000000001</v>
      </c>
      <c r="R79" s="1543">
        <f t="shared" si="37"/>
        <v>17.899999999999999</v>
      </c>
      <c r="S79" s="1543">
        <f t="shared" si="37"/>
        <v>17.100000000000001</v>
      </c>
      <c r="T79" s="1543">
        <f t="shared" si="37"/>
        <v>16.5</v>
      </c>
      <c r="U79" s="1543">
        <f t="shared" si="37"/>
        <v>15.8</v>
      </c>
      <c r="V79" s="1543">
        <f t="shared" si="37"/>
        <v>15</v>
      </c>
      <c r="W79" s="1543">
        <f t="shared" si="37"/>
        <v>14.2</v>
      </c>
      <c r="X79" s="1543">
        <f t="shared" si="37"/>
        <v>13.4</v>
      </c>
      <c r="Y79" s="82"/>
    </row>
    <row r="80" spans="2:25" ht="22" customHeight="1">
      <c r="B80" s="1541" t="s">
        <v>14</v>
      </c>
      <c r="C80" s="1542" t="s">
        <v>261</v>
      </c>
      <c r="D80" s="1543">
        <f>$E$7</f>
        <v>13.4</v>
      </c>
      <c r="E80" s="1543">
        <f>$E$7</f>
        <v>13.4</v>
      </c>
      <c r="F80" s="1543">
        <f>$E$7</f>
        <v>13.4</v>
      </c>
      <c r="G80" s="1543">
        <f>$G$7</f>
        <v>13.2</v>
      </c>
      <c r="H80" s="1543">
        <f>$G$7</f>
        <v>13.2</v>
      </c>
      <c r="I80" s="1543">
        <f>$G$7</f>
        <v>13.2</v>
      </c>
      <c r="J80" s="1543">
        <f>$G$7</f>
        <v>13.2</v>
      </c>
      <c r="K80" s="1543">
        <f>$K$7</f>
        <v>13</v>
      </c>
      <c r="L80" s="1543">
        <f>$K$7</f>
        <v>13</v>
      </c>
      <c r="M80" s="1543">
        <f>$M$7</f>
        <v>13</v>
      </c>
      <c r="N80" s="1543">
        <f>$M$7</f>
        <v>13</v>
      </c>
      <c r="O80" s="1543">
        <f>$M$7</f>
        <v>13</v>
      </c>
      <c r="P80" s="1543">
        <f>$M$7</f>
        <v>13</v>
      </c>
      <c r="Q80" s="1543">
        <f>$Q$7</f>
        <v>13</v>
      </c>
      <c r="R80" s="1543">
        <f t="shared" ref="R80:X80" si="38">$Q$7</f>
        <v>13</v>
      </c>
      <c r="S80" s="1543">
        <f t="shared" si="38"/>
        <v>13</v>
      </c>
      <c r="T80" s="1543">
        <f t="shared" si="38"/>
        <v>13</v>
      </c>
      <c r="U80" s="1543">
        <f t="shared" si="38"/>
        <v>13</v>
      </c>
      <c r="V80" s="1543">
        <f t="shared" si="38"/>
        <v>13</v>
      </c>
      <c r="W80" s="1543">
        <f t="shared" si="38"/>
        <v>13</v>
      </c>
      <c r="X80" s="1543">
        <f t="shared" si="38"/>
        <v>13</v>
      </c>
      <c r="Y80" s="1801" t="s">
        <v>785</v>
      </c>
    </row>
    <row r="81" spans="2:25" s="17" customFormat="1" ht="22" customHeight="1">
      <c r="B81" s="97" t="s">
        <v>262</v>
      </c>
      <c r="C81" s="98" t="s">
        <v>669</v>
      </c>
      <c r="D81" s="96">
        <f t="shared" ref="D81:W82" si="39">D78/D80</f>
        <v>1.380597014925373</v>
      </c>
      <c r="E81" s="96">
        <f t="shared" si="39"/>
        <v>1.5298507462686566</v>
      </c>
      <c r="F81" s="96">
        <f t="shared" si="39"/>
        <v>1.6791044776119401</v>
      </c>
      <c r="G81" s="96">
        <f t="shared" si="39"/>
        <v>1.8181818181818183</v>
      </c>
      <c r="H81" s="96">
        <f t="shared" si="39"/>
        <v>1.9318181818181819</v>
      </c>
      <c r="I81" s="96">
        <f t="shared" si="39"/>
        <v>2.0454545454545454</v>
      </c>
      <c r="J81" s="96">
        <f t="shared" si="39"/>
        <v>2.1212121212121211</v>
      </c>
      <c r="K81" s="96">
        <f t="shared" si="39"/>
        <v>2.2692307692307692</v>
      </c>
      <c r="L81" s="96">
        <f t="shared" si="39"/>
        <v>2.3461538461538463</v>
      </c>
      <c r="M81" s="96">
        <f t="shared" si="39"/>
        <v>2.4230769230769229</v>
      </c>
      <c r="N81" s="96">
        <f t="shared" si="39"/>
        <v>2.5</v>
      </c>
      <c r="O81" s="96">
        <f t="shared" si="39"/>
        <v>2.5384615384615383</v>
      </c>
      <c r="P81" s="96">
        <f t="shared" si="39"/>
        <v>2.5769230769230771</v>
      </c>
      <c r="Q81" s="96">
        <f t="shared" si="39"/>
        <v>2.6153846153846154</v>
      </c>
      <c r="R81" s="96">
        <f t="shared" si="39"/>
        <v>2.6538461538461537</v>
      </c>
      <c r="S81" s="96">
        <f t="shared" si="39"/>
        <v>2.6538461538461537</v>
      </c>
      <c r="T81" s="96">
        <f t="shared" si="39"/>
        <v>2.6538461538461537</v>
      </c>
      <c r="U81" s="96">
        <f t="shared" si="39"/>
        <v>2.6538461538461537</v>
      </c>
      <c r="V81" s="96">
        <f t="shared" si="39"/>
        <v>2.6538461538461537</v>
      </c>
      <c r="W81" s="96">
        <f t="shared" si="39"/>
        <v>2.6538461538461537</v>
      </c>
      <c r="X81" s="96">
        <f>X78/X80</f>
        <v>2.6538461538461537</v>
      </c>
      <c r="Y81" s="1802"/>
    </row>
    <row r="82" spans="2:25" ht="22" customHeight="1" thickBot="1">
      <c r="B82" s="79" t="s">
        <v>453</v>
      </c>
      <c r="C82" s="80" t="s">
        <v>263</v>
      </c>
      <c r="D82" s="81">
        <f t="shared" si="39"/>
        <v>11.444324324324326</v>
      </c>
      <c r="E82" s="81">
        <f t="shared" si="39"/>
        <v>10.850731707317076</v>
      </c>
      <c r="F82" s="81">
        <f t="shared" si="39"/>
        <v>10.243555555555556</v>
      </c>
      <c r="G82" s="81">
        <f t="shared" si="39"/>
        <v>9.7899999999999991</v>
      </c>
      <c r="H82" s="81">
        <f t="shared" si="39"/>
        <v>9.472941176470588</v>
      </c>
      <c r="I82" s="81">
        <f t="shared" si="39"/>
        <v>9.0933333333333337</v>
      </c>
      <c r="J82" s="81">
        <f t="shared" si="39"/>
        <v>8.91</v>
      </c>
      <c r="K82" s="81">
        <f t="shared" si="39"/>
        <v>8.3728813559322042</v>
      </c>
      <c r="L82" s="81">
        <f t="shared" si="39"/>
        <v>8.1409836065573771</v>
      </c>
      <c r="M82" s="81">
        <f t="shared" si="39"/>
        <v>7.8825396825396838</v>
      </c>
      <c r="N82" s="81">
        <f t="shared" si="39"/>
        <v>7.6</v>
      </c>
      <c r="O82" s="81">
        <f t="shared" si="39"/>
        <v>7.4060606060606071</v>
      </c>
      <c r="P82" s="81">
        <f t="shared" si="39"/>
        <v>7.1791044776119399</v>
      </c>
      <c r="Q82" s="81">
        <f t="shared" si="39"/>
        <v>6.9205882352941179</v>
      </c>
      <c r="R82" s="81">
        <f t="shared" si="39"/>
        <v>6.7449275362318835</v>
      </c>
      <c r="S82" s="81">
        <f t="shared" si="39"/>
        <v>6.4434782608695658</v>
      </c>
      <c r="T82" s="81">
        <f t="shared" si="39"/>
        <v>6.2173913043478262</v>
      </c>
      <c r="U82" s="81">
        <f t="shared" si="39"/>
        <v>5.953623188405798</v>
      </c>
      <c r="V82" s="81">
        <f t="shared" si="39"/>
        <v>5.6521739130434785</v>
      </c>
      <c r="W82" s="81">
        <f t="shared" si="39"/>
        <v>5.350724637681159</v>
      </c>
      <c r="X82" s="81">
        <f>X79/X81</f>
        <v>5.0492753623188413</v>
      </c>
      <c r="Y82" s="1803"/>
    </row>
    <row r="83" spans="2:25" s="75" customFormat="1" ht="22" customHeight="1" thickBot="1">
      <c r="B83" s="97" t="s">
        <v>471</v>
      </c>
      <c r="C83" s="98" t="s">
        <v>472</v>
      </c>
      <c r="D83" s="595">
        <f>D81/(D76/1000)</f>
        <v>1.7431780491481981</v>
      </c>
      <c r="E83" s="595">
        <f t="shared" ref="E83:X83" si="40">E81/(E76/1000)</f>
        <v>1.8321565823576726</v>
      </c>
      <c r="F83" s="595">
        <f t="shared" si="40"/>
        <v>1.9255785293714911</v>
      </c>
      <c r="G83" s="595">
        <f t="shared" si="40"/>
        <v>2.0090406830738323</v>
      </c>
      <c r="H83" s="595">
        <f t="shared" si="40"/>
        <v>2.0705446750462828</v>
      </c>
      <c r="I83" s="595">
        <f t="shared" si="40"/>
        <v>2.1395968048687712</v>
      </c>
      <c r="J83" s="595">
        <f t="shared" si="40"/>
        <v>2.1778358534005351</v>
      </c>
      <c r="K83" s="595">
        <f t="shared" si="40"/>
        <v>2.2991193203959162</v>
      </c>
      <c r="L83" s="595">
        <f t="shared" si="40"/>
        <v>2.357943563973715</v>
      </c>
      <c r="M83" s="595">
        <f t="shared" si="40"/>
        <v>2.4279327886542315</v>
      </c>
      <c r="N83" s="595">
        <f t="shared" si="40"/>
        <v>2.5100401606425704</v>
      </c>
      <c r="O83" s="595">
        <f t="shared" si="40"/>
        <v>2.566695185502061</v>
      </c>
      <c r="P83" s="595">
        <f t="shared" si="40"/>
        <v>2.6375875915282263</v>
      </c>
      <c r="Q83" s="595">
        <f t="shared" si="40"/>
        <v>2.7243589743589745</v>
      </c>
      <c r="R83" s="595">
        <f t="shared" si="40"/>
        <v>2.8322797799852224</v>
      </c>
      <c r="S83" s="595">
        <f t="shared" si="40"/>
        <v>2.9163144547759932</v>
      </c>
      <c r="T83" s="595">
        <f t="shared" si="40"/>
        <v>3.0226038198703344</v>
      </c>
      <c r="U83" s="595">
        <f t="shared" si="40"/>
        <v>3.1555840117076741</v>
      </c>
      <c r="V83" s="595">
        <f t="shared" si="40"/>
        <v>3.3214595167035714</v>
      </c>
      <c r="W83" s="595">
        <f t="shared" si="40"/>
        <v>3.529050736497545</v>
      </c>
      <c r="X83" s="595">
        <f t="shared" si="40"/>
        <v>3.7912087912087915</v>
      </c>
      <c r="Y83" s="596">
        <f>Y84/90</f>
        <v>2.4959262386787264</v>
      </c>
    </row>
    <row r="84" spans="2:25" s="75" customFormat="1" ht="22" customHeight="1" thickBot="1">
      <c r="B84" s="97" t="s">
        <v>521</v>
      </c>
      <c r="C84" s="98" t="s">
        <v>666</v>
      </c>
      <c r="D84" s="595">
        <f>D81*5/(D76/1000)</f>
        <v>8.7158902457409901</v>
      </c>
      <c r="E84" s="595">
        <f t="shared" ref="E84:X84" si="41">E81*5/(E76/1000)</f>
        <v>9.1607829117883632</v>
      </c>
      <c r="F84" s="595">
        <f t="shared" si="41"/>
        <v>9.6278926468574557</v>
      </c>
      <c r="G84" s="595">
        <f t="shared" si="41"/>
        <v>10.045203415369162</v>
      </c>
      <c r="H84" s="595">
        <f t="shared" si="41"/>
        <v>10.352723375231415</v>
      </c>
      <c r="I84" s="595">
        <f t="shared" si="41"/>
        <v>10.697984024343857</v>
      </c>
      <c r="J84" s="595">
        <f t="shared" si="41"/>
        <v>10.889179267002675</v>
      </c>
      <c r="K84" s="595">
        <f t="shared" si="41"/>
        <v>11.495596601979582</v>
      </c>
      <c r="L84" s="595">
        <f t="shared" si="41"/>
        <v>11.789717819868574</v>
      </c>
      <c r="M84" s="595">
        <f t="shared" si="41"/>
        <v>12.139663943271158</v>
      </c>
      <c r="N84" s="595">
        <f t="shared" si="41"/>
        <v>12.550200803212851</v>
      </c>
      <c r="O84" s="595">
        <f t="shared" si="41"/>
        <v>12.833475927510305</v>
      </c>
      <c r="P84" s="595">
        <f t="shared" si="41"/>
        <v>13.187937957641131</v>
      </c>
      <c r="Q84" s="595">
        <f t="shared" si="41"/>
        <v>13.621794871794872</v>
      </c>
      <c r="R84" s="595">
        <f t="shared" si="41"/>
        <v>14.161398899926112</v>
      </c>
      <c r="S84" s="595">
        <f t="shared" si="41"/>
        <v>14.581572273879965</v>
      </c>
      <c r="T84" s="595">
        <f t="shared" si="41"/>
        <v>15.113019099351673</v>
      </c>
      <c r="U84" s="595">
        <f t="shared" si="41"/>
        <v>15.777920058538369</v>
      </c>
      <c r="V84" s="595">
        <f t="shared" si="41"/>
        <v>16.607297583517855</v>
      </c>
      <c r="W84" s="595">
        <f t="shared" si="41"/>
        <v>17.645253682487724</v>
      </c>
      <c r="X84" s="595">
        <f t="shared" si="41"/>
        <v>18.956043956043956</v>
      </c>
      <c r="Y84" s="597">
        <f>SUM(E84:V84)</f>
        <v>224.63336148108539</v>
      </c>
    </row>
    <row r="85" spans="2:25" ht="22" customHeight="1"/>
    <row r="86" spans="2:25" ht="22" customHeight="1"/>
    <row r="87" spans="2:25" ht="22" customHeight="1">
      <c r="B87" s="1804" t="str">
        <f>IF($T$6="HP","Mast männlicher Tiere mit sehr hohem Proteinansatz","Mast männlicher Tiere")</f>
        <v>Mast männlicher Tiere</v>
      </c>
      <c r="C87" s="1804"/>
      <c r="D87" s="1804"/>
      <c r="E87" s="1804"/>
      <c r="F87" s="1804"/>
      <c r="G87" s="1804"/>
      <c r="H87" s="1804"/>
      <c r="I87" s="1804"/>
      <c r="J87" s="1804"/>
      <c r="K87" s="1804"/>
      <c r="L87" s="1804"/>
      <c r="M87" s="1804"/>
      <c r="N87" s="1804"/>
      <c r="O87" s="1804"/>
      <c r="P87" s="1804"/>
      <c r="Q87" s="1804"/>
      <c r="R87" s="1804"/>
      <c r="S87" s="1804"/>
      <c r="T87" s="1804"/>
      <c r="U87" s="1804"/>
      <c r="V87" s="1804"/>
      <c r="W87" s="1804"/>
      <c r="X87" s="1804"/>
    </row>
    <row r="88" spans="2:25" ht="22" customHeight="1">
      <c r="J88" s="1260" t="str">
        <f>B87</f>
        <v>Mast männlicher Tiere</v>
      </c>
    </row>
    <row r="89" spans="2:25" s="75" customFormat="1" ht="22" customHeight="1">
      <c r="B89" s="72" t="s">
        <v>256</v>
      </c>
      <c r="C89" s="73" t="s">
        <v>257</v>
      </c>
      <c r="D89" s="1253">
        <v>25</v>
      </c>
      <c r="E89" s="74">
        <v>30</v>
      </c>
      <c r="F89" s="74">
        <v>35</v>
      </c>
      <c r="G89" s="74">
        <v>40</v>
      </c>
      <c r="H89" s="74">
        <v>45</v>
      </c>
      <c r="I89" s="74">
        <v>50</v>
      </c>
      <c r="J89" s="74">
        <v>55</v>
      </c>
      <c r="K89" s="74">
        <v>60</v>
      </c>
      <c r="L89" s="74">
        <v>65</v>
      </c>
      <c r="M89" s="74">
        <v>70</v>
      </c>
      <c r="N89" s="74">
        <v>75</v>
      </c>
      <c r="O89" s="74">
        <v>80</v>
      </c>
      <c r="P89" s="74">
        <v>85</v>
      </c>
      <c r="Q89" s="74">
        <v>90</v>
      </c>
      <c r="R89" s="74">
        <v>95</v>
      </c>
      <c r="S89" s="74">
        <v>100</v>
      </c>
      <c r="T89" s="74">
        <v>105</v>
      </c>
      <c r="U89" s="74">
        <v>110</v>
      </c>
      <c r="V89" s="74">
        <v>115</v>
      </c>
      <c r="W89" s="74">
        <v>120</v>
      </c>
      <c r="X89" s="1253">
        <v>125</v>
      </c>
      <c r="Y89" s="1801" t="s">
        <v>784</v>
      </c>
    </row>
    <row r="90" spans="2:25" s="78" customFormat="1" ht="22" customHeight="1" thickBot="1">
      <c r="B90" s="76" t="s">
        <v>258</v>
      </c>
      <c r="C90" s="598">
        <f>ROUND(AVERAGE(E90:W90),-1)</f>
        <v>770</v>
      </c>
      <c r="D90" s="1254">
        <f t="shared" ref="D90:X90" si="42">D101-100</f>
        <v>642</v>
      </c>
      <c r="E90" s="77">
        <f>E101-100</f>
        <v>685</v>
      </c>
      <c r="F90" s="77">
        <f t="shared" si="42"/>
        <v>722</v>
      </c>
      <c r="G90" s="77">
        <f t="shared" si="42"/>
        <v>755</v>
      </c>
      <c r="H90" s="77">
        <f t="shared" si="42"/>
        <v>783</v>
      </c>
      <c r="I90" s="77">
        <f t="shared" si="42"/>
        <v>806</v>
      </c>
      <c r="J90" s="77">
        <f t="shared" si="42"/>
        <v>824</v>
      </c>
      <c r="K90" s="77">
        <f t="shared" si="42"/>
        <v>837</v>
      </c>
      <c r="L90" s="77">
        <f t="shared" si="42"/>
        <v>845</v>
      </c>
      <c r="M90" s="77">
        <f t="shared" si="42"/>
        <v>848</v>
      </c>
      <c r="N90" s="77">
        <f t="shared" si="42"/>
        <v>846</v>
      </c>
      <c r="O90" s="77">
        <f t="shared" si="42"/>
        <v>836</v>
      </c>
      <c r="P90" s="77">
        <f t="shared" si="42"/>
        <v>827</v>
      </c>
      <c r="Q90" s="77">
        <f t="shared" si="42"/>
        <v>810</v>
      </c>
      <c r="R90" s="77">
        <f t="shared" si="42"/>
        <v>787</v>
      </c>
      <c r="S90" s="77">
        <f t="shared" si="42"/>
        <v>760</v>
      </c>
      <c r="T90" s="77">
        <f t="shared" si="42"/>
        <v>728</v>
      </c>
      <c r="U90" s="77">
        <f t="shared" si="42"/>
        <v>691</v>
      </c>
      <c r="V90" s="77">
        <f t="shared" si="42"/>
        <v>649</v>
      </c>
      <c r="W90" s="77">
        <f t="shared" si="42"/>
        <v>602</v>
      </c>
      <c r="X90" s="1254">
        <f t="shared" si="42"/>
        <v>550</v>
      </c>
      <c r="Y90" s="1807"/>
    </row>
    <row r="91" spans="2:25" s="78" customFormat="1" ht="22" customHeight="1" thickBot="1">
      <c r="B91" s="1251" t="s">
        <v>782</v>
      </c>
      <c r="C91" s="1252" t="s">
        <v>783</v>
      </c>
      <c r="D91" s="1256">
        <f t="shared" ref="D91:X91" si="43">5/D90*1000</f>
        <v>7.7881619937694708</v>
      </c>
      <c r="E91" s="1257">
        <f t="shared" si="43"/>
        <v>7.2992700729927007</v>
      </c>
      <c r="F91" s="1257">
        <f t="shared" si="43"/>
        <v>6.9252077562326866</v>
      </c>
      <c r="G91" s="1257">
        <f t="shared" si="43"/>
        <v>6.6225165562913908</v>
      </c>
      <c r="H91" s="1257">
        <f t="shared" si="43"/>
        <v>6.3856960408684547</v>
      </c>
      <c r="I91" s="1257">
        <f t="shared" si="43"/>
        <v>6.2034739454094296</v>
      </c>
      <c r="J91" s="1257">
        <f t="shared" si="43"/>
        <v>6.0679611650485432</v>
      </c>
      <c r="K91" s="1257">
        <f t="shared" si="43"/>
        <v>5.9737156511350067</v>
      </c>
      <c r="L91" s="1257">
        <f t="shared" si="43"/>
        <v>5.9171597633136095</v>
      </c>
      <c r="M91" s="1257">
        <f t="shared" si="43"/>
        <v>5.8962264150943398</v>
      </c>
      <c r="N91" s="1257">
        <f t="shared" si="43"/>
        <v>5.9101654846335698</v>
      </c>
      <c r="O91" s="1257">
        <f t="shared" si="43"/>
        <v>5.9808612440191391</v>
      </c>
      <c r="P91" s="1257">
        <f t="shared" si="43"/>
        <v>6.045949214026602</v>
      </c>
      <c r="Q91" s="1257">
        <f t="shared" si="43"/>
        <v>6.1728395061728394</v>
      </c>
      <c r="R91" s="1257">
        <f t="shared" si="43"/>
        <v>6.3532401524777633</v>
      </c>
      <c r="S91" s="1257">
        <f t="shared" si="43"/>
        <v>6.5789473684210522</v>
      </c>
      <c r="T91" s="1257">
        <f t="shared" si="43"/>
        <v>6.8681318681318677</v>
      </c>
      <c r="U91" s="1257">
        <f t="shared" si="43"/>
        <v>7.2358900144717797</v>
      </c>
      <c r="V91" s="1257">
        <f t="shared" si="43"/>
        <v>7.704160246533128</v>
      </c>
      <c r="W91" s="1258">
        <f t="shared" si="43"/>
        <v>8.3056478405315612</v>
      </c>
      <c r="X91" s="1259">
        <f t="shared" si="43"/>
        <v>9.0909090909090899</v>
      </c>
      <c r="Y91" s="1255">
        <f>ROUND(SUM(E91:V91),0)</f>
        <v>116</v>
      </c>
    </row>
    <row r="92" spans="2:25" s="82" customFormat="1" ht="22" customHeight="1">
      <c r="B92" s="1541" t="s">
        <v>14</v>
      </c>
      <c r="C92" s="1542" t="s">
        <v>259</v>
      </c>
      <c r="D92" s="1543">
        <v>16.5</v>
      </c>
      <c r="E92" s="1543">
        <v>18.5</v>
      </c>
      <c r="F92" s="1543">
        <v>20.5</v>
      </c>
      <c r="G92" s="1543">
        <v>22.5</v>
      </c>
      <c r="H92" s="1543">
        <v>24</v>
      </c>
      <c r="I92" s="1543">
        <v>26</v>
      </c>
      <c r="J92" s="1543">
        <v>27.5</v>
      </c>
      <c r="K92" s="1543">
        <v>29</v>
      </c>
      <c r="L92" s="1543">
        <v>30</v>
      </c>
      <c r="M92" s="1543">
        <f>IF($T$6="HP",M103-3,31.5)</f>
        <v>31.5</v>
      </c>
      <c r="N92" s="1543">
        <f>IF($T$6="HP",N103-3,32.5)</f>
        <v>32.5</v>
      </c>
      <c r="O92" s="1543">
        <f>IF($T$6="HP",O103-2,33)</f>
        <v>33</v>
      </c>
      <c r="P92" s="1543">
        <f>IF($T$6="HP",P103-2,34)</f>
        <v>34</v>
      </c>
      <c r="Q92" s="1543">
        <f>IF($T$6="HP",Q103-2,34.5)</f>
        <v>34.5</v>
      </c>
      <c r="R92" s="1543">
        <f>IF($T$6="HP",R103-2,35)</f>
        <v>35</v>
      </c>
      <c r="S92" s="1543">
        <f>IF($T$6="HP",S103-2,35.5)</f>
        <v>35.5</v>
      </c>
      <c r="T92" s="1543">
        <f>IF($T$6="HP",T103-2,35)</f>
        <v>35</v>
      </c>
      <c r="U92" s="1543">
        <f>IF($T$6="HP",U103-2,32.35)</f>
        <v>32.35</v>
      </c>
      <c r="V92" s="1543">
        <f>IF($T$6="HP",V103-2,32.35)</f>
        <v>32.35</v>
      </c>
      <c r="W92" s="1543">
        <f>IF($T$6="HP",W103-2,32.35)</f>
        <v>32.35</v>
      </c>
      <c r="X92" s="1543">
        <f>IF($T$6="HP",X103-2,32.35)</f>
        <v>32.35</v>
      </c>
    </row>
    <row r="93" spans="2:25" s="82" customFormat="1" ht="22" customHeight="1">
      <c r="B93" s="1541" t="s">
        <v>453</v>
      </c>
      <c r="C93" s="1542" t="s">
        <v>260</v>
      </c>
      <c r="D93" s="1543">
        <f>IF($T$6="HP",D104-1.9,D104-1.9)</f>
        <v>12.799999999999999</v>
      </c>
      <c r="E93" s="1543">
        <f>IF($T$6="HP",E104-1.9,E104-1.9)</f>
        <v>13.6</v>
      </c>
      <c r="F93" s="1543">
        <f>IF($T$6="HP",F104-1.9,F104-1.9)</f>
        <v>14.118</v>
      </c>
      <c r="G93" s="1543">
        <f>IF($T$6="HP",G104-1.9,G104-1.9)</f>
        <v>14.795</v>
      </c>
      <c r="H93" s="1543">
        <f>IF($T$6="HP",H104-1.85,H104-1.85)</f>
        <v>15.35</v>
      </c>
      <c r="I93" s="1543">
        <f>IF($T$6="HP",I104-1.8,I104-1.8)</f>
        <v>15.814</v>
      </c>
      <c r="J93" s="1543">
        <f>IF($T$6="HP",J104-1.8,J104-1.8)</f>
        <v>16</v>
      </c>
      <c r="K93" s="1543">
        <f>IF($T$6="HP",K104-1.8,K104-1.8)</f>
        <v>16.2</v>
      </c>
      <c r="L93" s="1543">
        <f>IF($T$6="HP",L104-1.85,L104-1.85)</f>
        <v>16.149999999999999</v>
      </c>
      <c r="M93" s="1543">
        <f>IF($T$6="HP",M104-1.9,M104-1.9)</f>
        <v>16.100000000000001</v>
      </c>
      <c r="N93" s="1543">
        <f t="shared" ref="N93:S93" si="44">IF($T$6="HP",N104-1.9,N104-1.9)</f>
        <v>15.999999999999998</v>
      </c>
      <c r="O93" s="1543">
        <f t="shared" si="44"/>
        <v>15.799999999999999</v>
      </c>
      <c r="P93" s="1543">
        <f t="shared" si="44"/>
        <v>15.499999999999998</v>
      </c>
      <c r="Q93" s="1543">
        <f t="shared" si="44"/>
        <v>15.1</v>
      </c>
      <c r="R93" s="1543">
        <f t="shared" si="44"/>
        <v>14.6</v>
      </c>
      <c r="S93" s="1543">
        <f t="shared" si="44"/>
        <v>14.1</v>
      </c>
      <c r="T93" s="1543">
        <f>IF($T$6="HP",T104-1.85,T104-1.85)</f>
        <v>13.450000000000001</v>
      </c>
      <c r="U93" s="1543">
        <f>IF($T$6="HP",U104-1.8,U104-1.8)</f>
        <v>12.799999999999999</v>
      </c>
      <c r="V93" s="1543">
        <f>IF($T$6="HP",V104-1.8,V104-1.8)</f>
        <v>12.1</v>
      </c>
      <c r="W93" s="1543">
        <f>IF($T$6="HP",W104-1.8,W104-1.8)</f>
        <v>11.2</v>
      </c>
      <c r="X93" s="1543">
        <f>IF($T$6="HP",X104-1.8,X104-1.8)</f>
        <v>10.399999999999999</v>
      </c>
    </row>
    <row r="94" spans="2:25" s="82" customFormat="1" ht="22" customHeight="1">
      <c r="B94" s="1541" t="s">
        <v>14</v>
      </c>
      <c r="C94" s="1542" t="s">
        <v>261</v>
      </c>
      <c r="D94" s="1543">
        <f>$E$7</f>
        <v>13.4</v>
      </c>
      <c r="E94" s="1543">
        <f>$E$7</f>
        <v>13.4</v>
      </c>
      <c r="F94" s="1543">
        <f>$E$7</f>
        <v>13.4</v>
      </c>
      <c r="G94" s="1543">
        <f>$G$7</f>
        <v>13.2</v>
      </c>
      <c r="H94" s="1543">
        <f>$G$7</f>
        <v>13.2</v>
      </c>
      <c r="I94" s="1543">
        <f>$G$7</f>
        <v>13.2</v>
      </c>
      <c r="J94" s="1543">
        <f>$G$7</f>
        <v>13.2</v>
      </c>
      <c r="K94" s="1543">
        <f>$K$7</f>
        <v>13</v>
      </c>
      <c r="L94" s="1543">
        <f>$K$7</f>
        <v>13</v>
      </c>
      <c r="M94" s="1543">
        <f>$M$7</f>
        <v>13</v>
      </c>
      <c r="N94" s="1543">
        <f>$M$7</f>
        <v>13</v>
      </c>
      <c r="O94" s="1543">
        <f>$M$7</f>
        <v>13</v>
      </c>
      <c r="P94" s="1543">
        <f>$M$7</f>
        <v>13</v>
      </c>
      <c r="Q94" s="1543">
        <f>$Q$7</f>
        <v>13</v>
      </c>
      <c r="R94" s="1543">
        <f t="shared" ref="R94:X94" si="45">$Q$7</f>
        <v>13</v>
      </c>
      <c r="S94" s="1543">
        <f t="shared" si="45"/>
        <v>13</v>
      </c>
      <c r="T94" s="1543">
        <f t="shared" si="45"/>
        <v>13</v>
      </c>
      <c r="U94" s="1543">
        <f t="shared" si="45"/>
        <v>13</v>
      </c>
      <c r="V94" s="1543">
        <f t="shared" si="45"/>
        <v>13</v>
      </c>
      <c r="W94" s="1543">
        <f t="shared" si="45"/>
        <v>13</v>
      </c>
      <c r="X94" s="1543">
        <f t="shared" si="45"/>
        <v>13</v>
      </c>
      <c r="Y94" s="1801" t="s">
        <v>785</v>
      </c>
    </row>
    <row r="95" spans="2:25" s="75" customFormat="1" ht="22" customHeight="1">
      <c r="B95" s="97" t="s">
        <v>262</v>
      </c>
      <c r="C95" s="98" t="s">
        <v>669</v>
      </c>
      <c r="D95" s="96">
        <f t="shared" ref="D95:W96" si="46">D92/D94</f>
        <v>1.2313432835820894</v>
      </c>
      <c r="E95" s="96">
        <f t="shared" si="46"/>
        <v>1.380597014925373</v>
      </c>
      <c r="F95" s="96">
        <f t="shared" si="46"/>
        <v>1.5298507462686566</v>
      </c>
      <c r="G95" s="96">
        <f t="shared" si="46"/>
        <v>1.7045454545454546</v>
      </c>
      <c r="H95" s="96">
        <f t="shared" si="46"/>
        <v>1.8181818181818183</v>
      </c>
      <c r="I95" s="96">
        <f t="shared" si="46"/>
        <v>1.9696969696969697</v>
      </c>
      <c r="J95" s="96">
        <f t="shared" si="46"/>
        <v>2.0833333333333335</v>
      </c>
      <c r="K95" s="96">
        <f t="shared" si="46"/>
        <v>2.2307692307692308</v>
      </c>
      <c r="L95" s="96">
        <f t="shared" si="46"/>
        <v>2.3076923076923075</v>
      </c>
      <c r="M95" s="96">
        <f t="shared" si="46"/>
        <v>2.4230769230769229</v>
      </c>
      <c r="N95" s="96">
        <f t="shared" si="46"/>
        <v>2.5</v>
      </c>
      <c r="O95" s="96">
        <f t="shared" si="46"/>
        <v>2.5384615384615383</v>
      </c>
      <c r="P95" s="96">
        <f t="shared" si="46"/>
        <v>2.6153846153846154</v>
      </c>
      <c r="Q95" s="96">
        <f t="shared" si="46"/>
        <v>2.6538461538461537</v>
      </c>
      <c r="R95" s="96">
        <f t="shared" si="46"/>
        <v>2.6923076923076925</v>
      </c>
      <c r="S95" s="96">
        <f t="shared" si="46"/>
        <v>2.7307692307692308</v>
      </c>
      <c r="T95" s="96">
        <f t="shared" si="46"/>
        <v>2.6923076923076925</v>
      </c>
      <c r="U95" s="96">
        <f t="shared" si="46"/>
        <v>2.4884615384615385</v>
      </c>
      <c r="V95" s="96">
        <f t="shared" si="46"/>
        <v>2.4884615384615385</v>
      </c>
      <c r="W95" s="96">
        <f t="shared" si="46"/>
        <v>2.4884615384615385</v>
      </c>
      <c r="X95" s="96">
        <f>X92/X94</f>
        <v>2.4884615384615385</v>
      </c>
      <c r="Y95" s="1802"/>
    </row>
    <row r="96" spans="2:25" s="82" customFormat="1" ht="22" customHeight="1" thickBot="1">
      <c r="B96" s="79" t="s">
        <v>453</v>
      </c>
      <c r="C96" s="80" t="s">
        <v>263</v>
      </c>
      <c r="D96" s="81">
        <f t="shared" si="46"/>
        <v>10.395151515151515</v>
      </c>
      <c r="E96" s="81">
        <f t="shared" si="46"/>
        <v>9.8508108108108114</v>
      </c>
      <c r="F96" s="81">
        <f t="shared" si="46"/>
        <v>9.2283512195121968</v>
      </c>
      <c r="G96" s="81">
        <f t="shared" si="46"/>
        <v>8.6797333333333331</v>
      </c>
      <c r="H96" s="81">
        <f t="shared" si="46"/>
        <v>8.442499999999999</v>
      </c>
      <c r="I96" s="81">
        <f t="shared" si="46"/>
        <v>8.0286461538461538</v>
      </c>
      <c r="J96" s="81">
        <f t="shared" si="46"/>
        <v>7.68</v>
      </c>
      <c r="K96" s="81">
        <f t="shared" si="46"/>
        <v>7.2620689655172406</v>
      </c>
      <c r="L96" s="81">
        <f t="shared" si="46"/>
        <v>6.9983333333333331</v>
      </c>
      <c r="M96" s="81">
        <f t="shared" si="46"/>
        <v>6.6444444444444457</v>
      </c>
      <c r="N96" s="81">
        <f t="shared" si="46"/>
        <v>6.3999999999999995</v>
      </c>
      <c r="O96" s="81">
        <f t="shared" si="46"/>
        <v>6.2242424242424246</v>
      </c>
      <c r="P96" s="81">
        <f t="shared" si="46"/>
        <v>5.9264705882352935</v>
      </c>
      <c r="Q96" s="81">
        <f t="shared" si="46"/>
        <v>5.689855072463768</v>
      </c>
      <c r="R96" s="81">
        <f t="shared" si="46"/>
        <v>5.4228571428571426</v>
      </c>
      <c r="S96" s="81">
        <f t="shared" si="46"/>
        <v>5.1633802816901406</v>
      </c>
      <c r="T96" s="81">
        <f t="shared" si="46"/>
        <v>4.9957142857142856</v>
      </c>
      <c r="U96" s="81">
        <f t="shared" si="46"/>
        <v>5.1437403400309112</v>
      </c>
      <c r="V96" s="81">
        <f t="shared" si="46"/>
        <v>4.8624420401854715</v>
      </c>
      <c r="W96" s="81">
        <f t="shared" si="46"/>
        <v>4.5007727975270475</v>
      </c>
      <c r="X96" s="81">
        <f>X93/X95</f>
        <v>4.1792890262751152</v>
      </c>
      <c r="Y96" s="1803"/>
    </row>
    <row r="97" spans="2:25" s="75" customFormat="1" ht="22" customHeight="1" thickBot="1">
      <c r="B97" s="97" t="s">
        <v>471</v>
      </c>
      <c r="C97" s="98" t="s">
        <v>472</v>
      </c>
      <c r="D97" s="595">
        <f>D95/(D90/1000)</f>
        <v>1.9179801924954665</v>
      </c>
      <c r="E97" s="595">
        <f t="shared" ref="E97:X97" si="47">E95/(E90/1000)</f>
        <v>2.0154700947815662</v>
      </c>
      <c r="F97" s="595">
        <f t="shared" si="47"/>
        <v>2.1189068507876132</v>
      </c>
      <c r="G97" s="595">
        <f t="shared" si="47"/>
        <v>2.2576760987357014</v>
      </c>
      <c r="H97" s="595">
        <f t="shared" si="47"/>
        <v>2.3220712875885292</v>
      </c>
      <c r="I97" s="595">
        <f t="shared" si="47"/>
        <v>2.4437927663734116</v>
      </c>
      <c r="J97" s="595">
        <f t="shared" si="47"/>
        <v>2.5283171521035603</v>
      </c>
      <c r="K97" s="595">
        <f t="shared" si="47"/>
        <v>2.6651962135833105</v>
      </c>
      <c r="L97" s="595">
        <f t="shared" si="47"/>
        <v>2.7309968138370504</v>
      </c>
      <c r="M97" s="595">
        <f t="shared" si="47"/>
        <v>2.8574020319303335</v>
      </c>
      <c r="N97" s="595">
        <f t="shared" si="47"/>
        <v>2.9550827423167849</v>
      </c>
      <c r="O97" s="595">
        <f t="shared" si="47"/>
        <v>3.0364372469635628</v>
      </c>
      <c r="P97" s="595">
        <f t="shared" si="47"/>
        <v>3.1624965119523769</v>
      </c>
      <c r="Q97" s="595">
        <f t="shared" si="47"/>
        <v>3.2763532763532761</v>
      </c>
      <c r="R97" s="595">
        <f t="shared" si="47"/>
        <v>3.4209754667187959</v>
      </c>
      <c r="S97" s="595">
        <f t="shared" si="47"/>
        <v>3.5931174089068825</v>
      </c>
      <c r="T97" s="595">
        <f t="shared" si="47"/>
        <v>3.6982248520710064</v>
      </c>
      <c r="U97" s="595">
        <f t="shared" si="47"/>
        <v>3.6012467995101862</v>
      </c>
      <c r="V97" s="595">
        <f t="shared" si="47"/>
        <v>3.8343012919284103</v>
      </c>
      <c r="W97" s="595">
        <f t="shared" si="47"/>
        <v>4.1336570406337847</v>
      </c>
      <c r="X97" s="595">
        <f t="shared" si="47"/>
        <v>4.5244755244755241</v>
      </c>
      <c r="Y97" s="596">
        <f>Y98/90</f>
        <v>2.9176702725801311</v>
      </c>
    </row>
    <row r="98" spans="2:25" s="75" customFormat="1" ht="22" customHeight="1" thickBot="1">
      <c r="B98" s="97" t="s">
        <v>521</v>
      </c>
      <c r="C98" s="98" t="s">
        <v>666</v>
      </c>
      <c r="D98" s="595">
        <f>D95*5/(D90/1000)</f>
        <v>9.5899009624773317</v>
      </c>
      <c r="E98" s="595">
        <f t="shared" ref="E98:X98" si="48">E95*5/(E90/1000)</f>
        <v>10.077350473907831</v>
      </c>
      <c r="F98" s="595">
        <f t="shared" si="48"/>
        <v>10.594534253938065</v>
      </c>
      <c r="G98" s="595">
        <f t="shared" si="48"/>
        <v>11.288380493678508</v>
      </c>
      <c r="H98" s="595">
        <f t="shared" si="48"/>
        <v>11.610356437942645</v>
      </c>
      <c r="I98" s="595">
        <f t="shared" si="48"/>
        <v>12.218963831867056</v>
      </c>
      <c r="J98" s="595">
        <f t="shared" si="48"/>
        <v>12.641585760517801</v>
      </c>
      <c r="K98" s="595">
        <f t="shared" si="48"/>
        <v>13.325981067916551</v>
      </c>
      <c r="L98" s="595">
        <f t="shared" si="48"/>
        <v>13.65498406918525</v>
      </c>
      <c r="M98" s="595">
        <f t="shared" si="48"/>
        <v>14.287010159651668</v>
      </c>
      <c r="N98" s="595">
        <f t="shared" si="48"/>
        <v>14.775413711583925</v>
      </c>
      <c r="O98" s="595">
        <f t="shared" si="48"/>
        <v>15.182186234817813</v>
      </c>
      <c r="P98" s="595">
        <f t="shared" si="48"/>
        <v>15.812482559761882</v>
      </c>
      <c r="Q98" s="595">
        <f t="shared" si="48"/>
        <v>16.381766381766379</v>
      </c>
      <c r="R98" s="595">
        <f t="shared" si="48"/>
        <v>17.104877333593979</v>
      </c>
      <c r="S98" s="595">
        <f t="shared" si="48"/>
        <v>17.965587044534413</v>
      </c>
      <c r="T98" s="595">
        <f t="shared" si="48"/>
        <v>18.491124260355033</v>
      </c>
      <c r="U98" s="595">
        <f t="shared" si="48"/>
        <v>18.006233997550932</v>
      </c>
      <c r="V98" s="595">
        <f t="shared" si="48"/>
        <v>19.171506459642053</v>
      </c>
      <c r="W98" s="595">
        <f t="shared" si="48"/>
        <v>20.668285203168928</v>
      </c>
      <c r="X98" s="595">
        <f t="shared" si="48"/>
        <v>22.622377622377623</v>
      </c>
      <c r="Y98" s="597">
        <f>SUM(E98:V98)</f>
        <v>262.59032453221181</v>
      </c>
    </row>
    <row r="99" spans="2:25" ht="22" customHeight="1"/>
    <row r="100" spans="2:25" ht="22" customHeight="1">
      <c r="B100" s="72" t="s">
        <v>256</v>
      </c>
      <c r="C100" s="73" t="s">
        <v>257</v>
      </c>
      <c r="D100" s="1253">
        <v>25</v>
      </c>
      <c r="E100" s="74">
        <v>30</v>
      </c>
      <c r="F100" s="74">
        <v>35</v>
      </c>
      <c r="G100" s="74">
        <v>40</v>
      </c>
      <c r="H100" s="74">
        <v>45</v>
      </c>
      <c r="I100" s="74">
        <v>50</v>
      </c>
      <c r="J100" s="74">
        <v>55</v>
      </c>
      <c r="K100" s="74">
        <v>60</v>
      </c>
      <c r="L100" s="74">
        <v>65</v>
      </c>
      <c r="M100" s="74">
        <v>70</v>
      </c>
      <c r="N100" s="74">
        <v>75</v>
      </c>
      <c r="O100" s="74">
        <v>80</v>
      </c>
      <c r="P100" s="74">
        <v>85</v>
      </c>
      <c r="Q100" s="74">
        <v>90</v>
      </c>
      <c r="R100" s="74">
        <v>95</v>
      </c>
      <c r="S100" s="74">
        <v>100</v>
      </c>
      <c r="T100" s="74">
        <v>105</v>
      </c>
      <c r="U100" s="74">
        <v>110</v>
      </c>
      <c r="V100" s="74">
        <v>115</v>
      </c>
      <c r="W100" s="74">
        <v>120</v>
      </c>
      <c r="X100" s="1253">
        <v>125</v>
      </c>
      <c r="Y100" s="1801" t="s">
        <v>784</v>
      </c>
    </row>
    <row r="101" spans="2:25" ht="22" customHeight="1" thickBot="1">
      <c r="B101" s="76" t="s">
        <v>258</v>
      </c>
      <c r="C101" s="598">
        <f>ROUND(AVERAGE(E101:W101),-1)</f>
        <v>870</v>
      </c>
      <c r="D101" s="1254">
        <v>742</v>
      </c>
      <c r="E101" s="77">
        <v>785</v>
      </c>
      <c r="F101" s="77">
        <v>822</v>
      </c>
      <c r="G101" s="77">
        <v>855</v>
      </c>
      <c r="H101" s="77">
        <v>883</v>
      </c>
      <c r="I101" s="77">
        <v>906</v>
      </c>
      <c r="J101" s="77">
        <v>924</v>
      </c>
      <c r="K101" s="77">
        <v>937</v>
      </c>
      <c r="L101" s="77">
        <v>945</v>
      </c>
      <c r="M101" s="77">
        <v>948</v>
      </c>
      <c r="N101" s="77">
        <v>946</v>
      </c>
      <c r="O101" s="77">
        <v>936</v>
      </c>
      <c r="P101" s="77">
        <v>927</v>
      </c>
      <c r="Q101" s="77">
        <v>910</v>
      </c>
      <c r="R101" s="77">
        <v>887</v>
      </c>
      <c r="S101" s="77">
        <v>860</v>
      </c>
      <c r="T101" s="77">
        <v>828</v>
      </c>
      <c r="U101" s="77">
        <v>791</v>
      </c>
      <c r="V101" s="77">
        <v>749</v>
      </c>
      <c r="W101" s="77">
        <v>702</v>
      </c>
      <c r="X101" s="1254">
        <v>650</v>
      </c>
      <c r="Y101" s="1807"/>
    </row>
    <row r="102" spans="2:25" ht="22" customHeight="1" thickBot="1">
      <c r="B102" s="1251" t="s">
        <v>782</v>
      </c>
      <c r="C102" s="1252" t="s">
        <v>783</v>
      </c>
      <c r="D102" s="1256">
        <f t="shared" ref="D102:X102" si="49">5/D101*1000</f>
        <v>6.7385444743935317</v>
      </c>
      <c r="E102" s="1257">
        <f t="shared" si="49"/>
        <v>6.369426751592357</v>
      </c>
      <c r="F102" s="1257">
        <f t="shared" si="49"/>
        <v>6.0827250608272507</v>
      </c>
      <c r="G102" s="1257">
        <f t="shared" si="49"/>
        <v>5.8479532163742682</v>
      </c>
      <c r="H102" s="1257">
        <f t="shared" si="49"/>
        <v>5.6625141562853907</v>
      </c>
      <c r="I102" s="1257">
        <f t="shared" si="49"/>
        <v>5.5187637969094929</v>
      </c>
      <c r="J102" s="1257">
        <f t="shared" si="49"/>
        <v>5.4112554112554108</v>
      </c>
      <c r="K102" s="1257">
        <f t="shared" si="49"/>
        <v>5.3361792956243335</v>
      </c>
      <c r="L102" s="1257">
        <f t="shared" si="49"/>
        <v>5.2910052910052912</v>
      </c>
      <c r="M102" s="1257">
        <f t="shared" si="49"/>
        <v>5.2742616033755274</v>
      </c>
      <c r="N102" s="1257">
        <f t="shared" si="49"/>
        <v>5.2854122621564485</v>
      </c>
      <c r="O102" s="1257">
        <f t="shared" si="49"/>
        <v>5.3418803418803416</v>
      </c>
      <c r="P102" s="1257">
        <f t="shared" si="49"/>
        <v>5.3937432578209279</v>
      </c>
      <c r="Q102" s="1257">
        <f t="shared" si="49"/>
        <v>5.4945054945054945</v>
      </c>
      <c r="R102" s="1257">
        <f t="shared" si="49"/>
        <v>5.636978579481398</v>
      </c>
      <c r="S102" s="1257">
        <f t="shared" si="49"/>
        <v>5.8139534883720927</v>
      </c>
      <c r="T102" s="1257">
        <f t="shared" si="49"/>
        <v>6.0386473429951693</v>
      </c>
      <c r="U102" s="1257">
        <f t="shared" si="49"/>
        <v>6.3211125158027812</v>
      </c>
      <c r="V102" s="1257">
        <f t="shared" si="49"/>
        <v>6.6755674232309747</v>
      </c>
      <c r="W102" s="1258">
        <f t="shared" si="49"/>
        <v>7.1225071225071224</v>
      </c>
      <c r="X102" s="1259">
        <f t="shared" si="49"/>
        <v>7.6923076923076925</v>
      </c>
      <c r="Y102" s="1255">
        <f>ROUND(SUM(E102:V102),0)</f>
        <v>103</v>
      </c>
    </row>
    <row r="103" spans="2:25" ht="22" customHeight="1">
      <c r="B103" s="1541" t="s">
        <v>14</v>
      </c>
      <c r="C103" s="1542" t="s">
        <v>259</v>
      </c>
      <c r="D103" s="1543">
        <v>18</v>
      </c>
      <c r="E103" s="1543">
        <v>20.5</v>
      </c>
      <c r="F103" s="1543">
        <v>22</v>
      </c>
      <c r="G103" s="1543">
        <v>24</v>
      </c>
      <c r="H103" s="1543">
        <v>26</v>
      </c>
      <c r="I103" s="1543">
        <v>28</v>
      </c>
      <c r="J103" s="1543">
        <v>29.5</v>
      </c>
      <c r="K103" s="1543">
        <v>31</v>
      </c>
      <c r="L103" s="1543">
        <v>32</v>
      </c>
      <c r="M103" s="1543">
        <f>IF($T$6="HP",32,33.5)</f>
        <v>33.5</v>
      </c>
      <c r="N103" s="1543">
        <f>IF($T$6="HP",33,35)</f>
        <v>35</v>
      </c>
      <c r="O103" s="1543">
        <f>IF($T$6="HP",32.8,36)</f>
        <v>36</v>
      </c>
      <c r="P103" s="1543">
        <f>IF($T$6="HP",32.6,36.5)</f>
        <v>36.5</v>
      </c>
      <c r="Q103" s="1543">
        <f>IF($T$6="HP",33.2,37)</f>
        <v>37</v>
      </c>
      <c r="R103" s="1543">
        <f>IF($T$6="HP",32.7,37.5)</f>
        <v>37.5</v>
      </c>
      <c r="S103" s="1543">
        <f>IF($T$6="HP",33.2,38)</f>
        <v>38</v>
      </c>
      <c r="T103" s="1543">
        <f>IF($T$6="HP",32.6,38)</f>
        <v>38</v>
      </c>
      <c r="U103" s="1543">
        <f>IF($T$6="HP",33.2,38)</f>
        <v>38</v>
      </c>
      <c r="V103" s="1543">
        <f>IF($T$6="HP",31.5,38)</f>
        <v>38</v>
      </c>
      <c r="W103" s="1543">
        <f>IF($T$6="HP",31,38)</f>
        <v>38</v>
      </c>
      <c r="X103" s="1543">
        <f>IF($T$6="HP",30,38)</f>
        <v>38</v>
      </c>
      <c r="Y103" s="82"/>
    </row>
    <row r="104" spans="2:25" ht="22" customHeight="1">
      <c r="B104" s="1541" t="s">
        <v>453</v>
      </c>
      <c r="C104" s="1542" t="s">
        <v>260</v>
      </c>
      <c r="D104" s="1543">
        <f>IF($T$6="HP",14.35,14.7)</f>
        <v>14.7</v>
      </c>
      <c r="E104" s="1543">
        <f>IF($T$6="HP",15.32,15.5)</f>
        <v>15.5</v>
      </c>
      <c r="F104" s="1543">
        <f>IF($T$6="HP",16.02,15.6+1.9*0.22)</f>
        <v>16.018000000000001</v>
      </c>
      <c r="G104" s="1543">
        <f>IF($T$6="HP",16.7,15.65+1.9*0.55)</f>
        <v>16.695</v>
      </c>
      <c r="H104" s="1543">
        <f>IF($T$6="HP",17.33,17.2)</f>
        <v>17.2</v>
      </c>
      <c r="I104" s="1543">
        <f>IF($T$6="HP",17.61,17.5+1.9*0.06)</f>
        <v>17.614000000000001</v>
      </c>
      <c r="J104" s="1543">
        <f>IF($T$6="HP",17.99,17.8)</f>
        <v>17.8</v>
      </c>
      <c r="K104" s="1543">
        <f>IF($T$6="HP",18.27,18)</f>
        <v>18</v>
      </c>
      <c r="L104" s="1543">
        <f>IF($T$6="HP",18.46,18)</f>
        <v>18</v>
      </c>
      <c r="M104" s="1543">
        <f>IF($T$6="HP",18.56,18)</f>
        <v>18</v>
      </c>
      <c r="N104" s="1543">
        <f>IF($T$6="HP",18.58,17.9)</f>
        <v>17.899999999999999</v>
      </c>
      <c r="O104" s="1543">
        <f>IF($T$6="HP",18.45,17.7)</f>
        <v>17.7</v>
      </c>
      <c r="P104" s="1543">
        <f>IF($T$6="HP",18.34,17.4)</f>
        <v>17.399999999999999</v>
      </c>
      <c r="Q104" s="1543">
        <f>IF($T$6="HP",18.08,17)</f>
        <v>17</v>
      </c>
      <c r="R104" s="1543">
        <f>IF($T$6="HP",17.7,16.5)</f>
        <v>16.5</v>
      </c>
      <c r="S104" s="1543">
        <f>IF($T$6="HP",17.15,16)</f>
        <v>16</v>
      </c>
      <c r="T104" s="1543">
        <f>IF($T$6="HP",16.68,15.3)</f>
        <v>15.3</v>
      </c>
      <c r="U104" s="1543">
        <f>IF($T$6="HP",16.03,14.6)</f>
        <v>14.6</v>
      </c>
      <c r="V104" s="1543">
        <f>IF($T$6="HP",15.28,13.9)</f>
        <v>13.9</v>
      </c>
      <c r="W104" s="1543">
        <f>IF($T$6="HP",14.34,13)</f>
        <v>13</v>
      </c>
      <c r="X104" s="1543">
        <f>IF($T$6="HP",13.55,12.2)</f>
        <v>12.2</v>
      </c>
      <c r="Y104" s="82"/>
    </row>
    <row r="105" spans="2:25" ht="22" customHeight="1">
      <c r="B105" s="1541" t="s">
        <v>14</v>
      </c>
      <c r="C105" s="1542" t="s">
        <v>261</v>
      </c>
      <c r="D105" s="1543">
        <f>$E$7</f>
        <v>13.4</v>
      </c>
      <c r="E105" s="1543">
        <f>$E$7</f>
        <v>13.4</v>
      </c>
      <c r="F105" s="1543">
        <f>$E$7</f>
        <v>13.4</v>
      </c>
      <c r="G105" s="1543">
        <f>$G$7</f>
        <v>13.2</v>
      </c>
      <c r="H105" s="1543">
        <f>$G$7</f>
        <v>13.2</v>
      </c>
      <c r="I105" s="1543">
        <f>$G$7</f>
        <v>13.2</v>
      </c>
      <c r="J105" s="1543">
        <f>$G$7</f>
        <v>13.2</v>
      </c>
      <c r="K105" s="1543">
        <f>$K$7</f>
        <v>13</v>
      </c>
      <c r="L105" s="1543">
        <f>$K$7</f>
        <v>13</v>
      </c>
      <c r="M105" s="1543">
        <f>$M$7</f>
        <v>13</v>
      </c>
      <c r="N105" s="1543">
        <f>$M$7</f>
        <v>13</v>
      </c>
      <c r="O105" s="1543">
        <f>$M$7</f>
        <v>13</v>
      </c>
      <c r="P105" s="1543">
        <f>$M$7</f>
        <v>13</v>
      </c>
      <c r="Q105" s="1543">
        <f>$Q$7</f>
        <v>13</v>
      </c>
      <c r="R105" s="1543">
        <f t="shared" ref="R105:X105" si="50">$Q$7</f>
        <v>13</v>
      </c>
      <c r="S105" s="1543">
        <f t="shared" si="50"/>
        <v>13</v>
      </c>
      <c r="T105" s="1543">
        <f t="shared" si="50"/>
        <v>13</v>
      </c>
      <c r="U105" s="1543">
        <f t="shared" si="50"/>
        <v>13</v>
      </c>
      <c r="V105" s="1543">
        <f t="shared" si="50"/>
        <v>13</v>
      </c>
      <c r="W105" s="1543">
        <f t="shared" si="50"/>
        <v>13</v>
      </c>
      <c r="X105" s="1543">
        <f t="shared" si="50"/>
        <v>13</v>
      </c>
      <c r="Y105" s="1801" t="s">
        <v>785</v>
      </c>
    </row>
    <row r="106" spans="2:25" s="17" customFormat="1" ht="22" customHeight="1">
      <c r="B106" s="97" t="s">
        <v>262</v>
      </c>
      <c r="C106" s="98" t="s">
        <v>669</v>
      </c>
      <c r="D106" s="96">
        <f t="shared" ref="D106:W107" si="51">D103/D105</f>
        <v>1.3432835820895521</v>
      </c>
      <c r="E106" s="96">
        <f t="shared" si="51"/>
        <v>1.5298507462686566</v>
      </c>
      <c r="F106" s="96">
        <f t="shared" si="51"/>
        <v>1.6417910447761193</v>
      </c>
      <c r="G106" s="96">
        <f t="shared" si="51"/>
        <v>1.8181818181818183</v>
      </c>
      <c r="H106" s="96">
        <f t="shared" si="51"/>
        <v>1.9696969696969697</v>
      </c>
      <c r="I106" s="96">
        <f t="shared" si="51"/>
        <v>2.1212121212121211</v>
      </c>
      <c r="J106" s="96">
        <f t="shared" si="51"/>
        <v>2.2348484848484849</v>
      </c>
      <c r="K106" s="96">
        <f t="shared" si="51"/>
        <v>2.3846153846153846</v>
      </c>
      <c r="L106" s="96">
        <f t="shared" si="51"/>
        <v>2.4615384615384617</v>
      </c>
      <c r="M106" s="96">
        <f t="shared" si="51"/>
        <v>2.5769230769230771</v>
      </c>
      <c r="N106" s="96">
        <f t="shared" si="51"/>
        <v>2.6923076923076925</v>
      </c>
      <c r="O106" s="96">
        <f t="shared" si="51"/>
        <v>2.7692307692307692</v>
      </c>
      <c r="P106" s="96">
        <f t="shared" si="51"/>
        <v>2.8076923076923075</v>
      </c>
      <c r="Q106" s="96">
        <f t="shared" si="51"/>
        <v>2.8461538461538463</v>
      </c>
      <c r="R106" s="96">
        <f t="shared" si="51"/>
        <v>2.8846153846153846</v>
      </c>
      <c r="S106" s="96">
        <f t="shared" si="51"/>
        <v>2.9230769230769229</v>
      </c>
      <c r="T106" s="96">
        <f t="shared" si="51"/>
        <v>2.9230769230769229</v>
      </c>
      <c r="U106" s="96">
        <f t="shared" si="51"/>
        <v>2.9230769230769229</v>
      </c>
      <c r="V106" s="96">
        <f t="shared" si="51"/>
        <v>2.9230769230769229</v>
      </c>
      <c r="W106" s="96">
        <f t="shared" si="51"/>
        <v>2.9230769230769229</v>
      </c>
      <c r="X106" s="96">
        <f>X103/X105</f>
        <v>2.9230769230769229</v>
      </c>
      <c r="Y106" s="1802"/>
    </row>
    <row r="107" spans="2:25" ht="22" customHeight="1" thickBot="1">
      <c r="B107" s="79" t="s">
        <v>453</v>
      </c>
      <c r="C107" s="80" t="s">
        <v>263</v>
      </c>
      <c r="D107" s="81">
        <f t="shared" si="51"/>
        <v>10.943333333333333</v>
      </c>
      <c r="E107" s="81">
        <f t="shared" si="51"/>
        <v>10.131707317073172</v>
      </c>
      <c r="F107" s="81">
        <f t="shared" si="51"/>
        <v>9.7564181818181837</v>
      </c>
      <c r="G107" s="81">
        <f t="shared" si="51"/>
        <v>9.1822499999999998</v>
      </c>
      <c r="H107" s="81">
        <f t="shared" si="51"/>
        <v>8.7323076923076925</v>
      </c>
      <c r="I107" s="81">
        <f t="shared" si="51"/>
        <v>8.3037428571428578</v>
      </c>
      <c r="J107" s="81">
        <f t="shared" si="51"/>
        <v>7.964745762711865</v>
      </c>
      <c r="K107" s="81">
        <f t="shared" si="51"/>
        <v>7.5483870967741939</v>
      </c>
      <c r="L107" s="81">
        <f t="shared" si="51"/>
        <v>7.3125</v>
      </c>
      <c r="M107" s="81">
        <f t="shared" si="51"/>
        <v>6.9850746268656714</v>
      </c>
      <c r="N107" s="81">
        <f t="shared" si="51"/>
        <v>6.6485714285714277</v>
      </c>
      <c r="O107" s="81">
        <f t="shared" si="51"/>
        <v>6.3916666666666666</v>
      </c>
      <c r="P107" s="81">
        <f t="shared" si="51"/>
        <v>6.1972602739726028</v>
      </c>
      <c r="Q107" s="81">
        <f t="shared" si="51"/>
        <v>5.9729729729729728</v>
      </c>
      <c r="R107" s="81">
        <f t="shared" si="51"/>
        <v>5.72</v>
      </c>
      <c r="S107" s="81">
        <f t="shared" si="51"/>
        <v>5.4736842105263159</v>
      </c>
      <c r="T107" s="81">
        <f t="shared" si="51"/>
        <v>5.2342105263157901</v>
      </c>
      <c r="U107" s="81">
        <f t="shared" si="51"/>
        <v>4.9947368421052634</v>
      </c>
      <c r="V107" s="81">
        <f t="shared" si="51"/>
        <v>4.7552631578947375</v>
      </c>
      <c r="W107" s="81">
        <f t="shared" si="51"/>
        <v>4.4473684210526319</v>
      </c>
      <c r="X107" s="81">
        <f>X104/X106</f>
        <v>4.1736842105263161</v>
      </c>
      <c r="Y107" s="1803"/>
    </row>
    <row r="108" spans="2:25" s="75" customFormat="1" ht="22" customHeight="1" thickBot="1">
      <c r="B108" s="97" t="s">
        <v>471</v>
      </c>
      <c r="C108" s="98" t="s">
        <v>472</v>
      </c>
      <c r="D108" s="595">
        <f>D106/(D101/1000)</f>
        <v>1.8103552319266201</v>
      </c>
      <c r="E108" s="595">
        <f t="shared" ref="E108:X108" si="52">E106/(E101/1000)</f>
        <v>1.9488544538454222</v>
      </c>
      <c r="F108" s="595">
        <f t="shared" si="52"/>
        <v>1.9973127065402911</v>
      </c>
      <c r="G108" s="595">
        <f t="shared" si="52"/>
        <v>2.126528442317916</v>
      </c>
      <c r="H108" s="595">
        <f t="shared" si="52"/>
        <v>2.2306873949003054</v>
      </c>
      <c r="I108" s="595">
        <f t="shared" si="52"/>
        <v>2.3412937320222085</v>
      </c>
      <c r="J108" s="595">
        <f t="shared" si="52"/>
        <v>2.418667191394464</v>
      </c>
      <c r="K108" s="595">
        <f t="shared" si="52"/>
        <v>2.5449470486823742</v>
      </c>
      <c r="L108" s="595">
        <f t="shared" si="52"/>
        <v>2.6048026048026052</v>
      </c>
      <c r="M108" s="595">
        <f t="shared" si="52"/>
        <v>2.7182732878935414</v>
      </c>
      <c r="N108" s="595">
        <f t="shared" si="52"/>
        <v>2.8459912180842415</v>
      </c>
      <c r="O108" s="595">
        <f t="shared" si="52"/>
        <v>2.9585798816568043</v>
      </c>
      <c r="P108" s="595">
        <f t="shared" si="52"/>
        <v>3.0287942909302128</v>
      </c>
      <c r="Q108" s="595">
        <f t="shared" si="52"/>
        <v>3.1276415891800506</v>
      </c>
      <c r="R108" s="595">
        <f t="shared" si="52"/>
        <v>3.2521030266238835</v>
      </c>
      <c r="S108" s="595">
        <f t="shared" si="52"/>
        <v>3.3989266547406083</v>
      </c>
      <c r="T108" s="595">
        <f t="shared" si="52"/>
        <v>3.5302861389817912</v>
      </c>
      <c r="U108" s="595">
        <f t="shared" si="52"/>
        <v>3.6954196246231641</v>
      </c>
      <c r="V108" s="595">
        <f t="shared" si="52"/>
        <v>3.9026394166581082</v>
      </c>
      <c r="W108" s="595">
        <f t="shared" si="52"/>
        <v>4.1639272408503176</v>
      </c>
      <c r="X108" s="595">
        <f t="shared" si="52"/>
        <v>4.4970414201183431</v>
      </c>
      <c r="Y108" s="596">
        <f>Y109/90</f>
        <v>2.8150971502154438</v>
      </c>
    </row>
    <row r="109" spans="2:25" s="75" customFormat="1" ht="22" customHeight="1" thickBot="1">
      <c r="B109" s="97" t="s">
        <v>521</v>
      </c>
      <c r="C109" s="98" t="s">
        <v>666</v>
      </c>
      <c r="D109" s="595">
        <f>D106*5/(D101/1000)</f>
        <v>9.0517761596330999</v>
      </c>
      <c r="E109" s="595">
        <f t="shared" ref="E109:X109" si="53">E106*5/(E101/1000)</f>
        <v>9.7442722692271104</v>
      </c>
      <c r="F109" s="595">
        <f t="shared" si="53"/>
        <v>9.9865635327014566</v>
      </c>
      <c r="G109" s="595">
        <f t="shared" si="53"/>
        <v>10.632642211589582</v>
      </c>
      <c r="H109" s="595">
        <f t="shared" si="53"/>
        <v>11.153436974501526</v>
      </c>
      <c r="I109" s="595">
        <f t="shared" si="53"/>
        <v>11.706468660111044</v>
      </c>
      <c r="J109" s="595">
        <f t="shared" si="53"/>
        <v>12.09333595697232</v>
      </c>
      <c r="K109" s="595">
        <f t="shared" si="53"/>
        <v>12.724735243411871</v>
      </c>
      <c r="L109" s="595">
        <f t="shared" si="53"/>
        <v>13.024013024013026</v>
      </c>
      <c r="M109" s="595">
        <f t="shared" si="53"/>
        <v>13.591366439467706</v>
      </c>
      <c r="N109" s="595">
        <f t="shared" si="53"/>
        <v>14.22995609042121</v>
      </c>
      <c r="O109" s="595">
        <f t="shared" si="53"/>
        <v>14.792899408284024</v>
      </c>
      <c r="P109" s="595">
        <f t="shared" si="53"/>
        <v>15.143971454651064</v>
      </c>
      <c r="Q109" s="595">
        <f t="shared" si="53"/>
        <v>15.638207945900254</v>
      </c>
      <c r="R109" s="595">
        <f t="shared" si="53"/>
        <v>16.260515133119416</v>
      </c>
      <c r="S109" s="595">
        <f t="shared" si="53"/>
        <v>16.994633273703041</v>
      </c>
      <c r="T109" s="595">
        <f t="shared" si="53"/>
        <v>17.651430694908957</v>
      </c>
      <c r="U109" s="595">
        <f t="shared" si="53"/>
        <v>18.47709812311582</v>
      </c>
      <c r="V109" s="595">
        <f t="shared" si="53"/>
        <v>19.513197083290542</v>
      </c>
      <c r="W109" s="595">
        <f t="shared" si="53"/>
        <v>20.819636204251591</v>
      </c>
      <c r="X109" s="595">
        <f t="shared" si="53"/>
        <v>22.485207100591715</v>
      </c>
      <c r="Y109" s="597">
        <f>SUM(E109:V109)</f>
        <v>253.35874351938995</v>
      </c>
    </row>
    <row r="110" spans="2:25" ht="22" customHeight="1"/>
    <row r="111" spans="2:25" ht="22" customHeight="1">
      <c r="B111" s="72" t="s">
        <v>256</v>
      </c>
      <c r="C111" s="73" t="s">
        <v>257</v>
      </c>
      <c r="D111" s="1253">
        <v>25</v>
      </c>
      <c r="E111" s="74">
        <v>30</v>
      </c>
      <c r="F111" s="74">
        <v>35</v>
      </c>
      <c r="G111" s="74">
        <v>40</v>
      </c>
      <c r="H111" s="74">
        <v>45</v>
      </c>
      <c r="I111" s="74">
        <v>50</v>
      </c>
      <c r="J111" s="74">
        <v>55</v>
      </c>
      <c r="K111" s="74">
        <v>60</v>
      </c>
      <c r="L111" s="74">
        <v>65</v>
      </c>
      <c r="M111" s="74">
        <v>70</v>
      </c>
      <c r="N111" s="74">
        <v>75</v>
      </c>
      <c r="O111" s="74">
        <v>80</v>
      </c>
      <c r="P111" s="74">
        <v>85</v>
      </c>
      <c r="Q111" s="74">
        <v>90</v>
      </c>
      <c r="R111" s="74">
        <v>95</v>
      </c>
      <c r="S111" s="74">
        <v>100</v>
      </c>
      <c r="T111" s="74">
        <v>105</v>
      </c>
      <c r="U111" s="74">
        <v>110</v>
      </c>
      <c r="V111" s="74">
        <v>115</v>
      </c>
      <c r="W111" s="74">
        <v>120</v>
      </c>
      <c r="X111" s="1253">
        <v>125</v>
      </c>
      <c r="Y111" s="1801" t="s">
        <v>784</v>
      </c>
    </row>
    <row r="112" spans="2:25" ht="22" customHeight="1" thickBot="1">
      <c r="B112" s="76" t="s">
        <v>258</v>
      </c>
      <c r="C112" s="598">
        <f>ROUND(AVERAGE(E112:W112),-1)</f>
        <v>970</v>
      </c>
      <c r="D112" s="1254">
        <f>D101+100</f>
        <v>842</v>
      </c>
      <c r="E112" s="77">
        <f>E101+100</f>
        <v>885</v>
      </c>
      <c r="F112" s="77">
        <f t="shared" ref="F112:X112" si="54">F101+100</f>
        <v>922</v>
      </c>
      <c r="G112" s="77">
        <f t="shared" si="54"/>
        <v>955</v>
      </c>
      <c r="H112" s="77">
        <f t="shared" si="54"/>
        <v>983</v>
      </c>
      <c r="I112" s="77">
        <f t="shared" si="54"/>
        <v>1006</v>
      </c>
      <c r="J112" s="77">
        <f t="shared" si="54"/>
        <v>1024</v>
      </c>
      <c r="K112" s="77">
        <f t="shared" si="54"/>
        <v>1037</v>
      </c>
      <c r="L112" s="77">
        <f t="shared" si="54"/>
        <v>1045</v>
      </c>
      <c r="M112" s="77">
        <f t="shared" si="54"/>
        <v>1048</v>
      </c>
      <c r="N112" s="77">
        <f t="shared" si="54"/>
        <v>1046</v>
      </c>
      <c r="O112" s="77">
        <f t="shared" si="54"/>
        <v>1036</v>
      </c>
      <c r="P112" s="77">
        <f t="shared" si="54"/>
        <v>1027</v>
      </c>
      <c r="Q112" s="77">
        <f t="shared" si="54"/>
        <v>1010</v>
      </c>
      <c r="R112" s="77">
        <f t="shared" si="54"/>
        <v>987</v>
      </c>
      <c r="S112" s="77">
        <f t="shared" si="54"/>
        <v>960</v>
      </c>
      <c r="T112" s="77">
        <f t="shared" si="54"/>
        <v>928</v>
      </c>
      <c r="U112" s="77">
        <f t="shared" si="54"/>
        <v>891</v>
      </c>
      <c r="V112" s="77">
        <f t="shared" si="54"/>
        <v>849</v>
      </c>
      <c r="W112" s="77">
        <f t="shared" si="54"/>
        <v>802</v>
      </c>
      <c r="X112" s="1254">
        <f t="shared" si="54"/>
        <v>750</v>
      </c>
      <c r="Y112" s="1807"/>
    </row>
    <row r="113" spans="1:25" ht="22" customHeight="1" thickBot="1">
      <c r="B113" s="1251" t="s">
        <v>782</v>
      </c>
      <c r="C113" s="1252" t="s">
        <v>783</v>
      </c>
      <c r="D113" s="1256">
        <f t="shared" ref="D113:X113" si="55">5/D112*1000</f>
        <v>5.9382422802850359</v>
      </c>
      <c r="E113" s="1257">
        <f t="shared" si="55"/>
        <v>5.6497175141242941</v>
      </c>
      <c r="F113" s="1257">
        <f t="shared" si="55"/>
        <v>5.4229934924078087</v>
      </c>
      <c r="G113" s="1257">
        <f t="shared" si="55"/>
        <v>5.2356020942408383</v>
      </c>
      <c r="H113" s="1257">
        <f t="shared" si="55"/>
        <v>5.0864699898270604</v>
      </c>
      <c r="I113" s="1257">
        <f t="shared" si="55"/>
        <v>4.9701789264413518</v>
      </c>
      <c r="J113" s="1257">
        <f t="shared" si="55"/>
        <v>4.8828125</v>
      </c>
      <c r="K113" s="1257">
        <f t="shared" si="55"/>
        <v>4.8216007714561231</v>
      </c>
      <c r="L113" s="1257">
        <f t="shared" si="55"/>
        <v>4.7846889952153111</v>
      </c>
      <c r="M113" s="1257">
        <f t="shared" si="55"/>
        <v>4.770992366412214</v>
      </c>
      <c r="N113" s="1257">
        <f t="shared" si="55"/>
        <v>4.7801147227533463</v>
      </c>
      <c r="O113" s="1257">
        <f t="shared" si="55"/>
        <v>4.8262548262548259</v>
      </c>
      <c r="P113" s="1257">
        <f t="shared" si="55"/>
        <v>4.8685491723466408</v>
      </c>
      <c r="Q113" s="1257">
        <f t="shared" si="55"/>
        <v>4.9504950495049505</v>
      </c>
      <c r="R113" s="1257">
        <f t="shared" si="55"/>
        <v>5.0658561296859173</v>
      </c>
      <c r="S113" s="1257">
        <f t="shared" si="55"/>
        <v>5.208333333333333</v>
      </c>
      <c r="T113" s="1257">
        <f t="shared" si="55"/>
        <v>5.3879310344827589</v>
      </c>
      <c r="U113" s="1257">
        <f t="shared" si="55"/>
        <v>5.6116722783389443</v>
      </c>
      <c r="V113" s="1257">
        <f t="shared" si="55"/>
        <v>5.8892815076560661</v>
      </c>
      <c r="W113" s="1258">
        <f t="shared" si="55"/>
        <v>6.2344139650872821</v>
      </c>
      <c r="X113" s="1259">
        <f t="shared" si="55"/>
        <v>6.666666666666667</v>
      </c>
      <c r="Y113" s="1255">
        <f>ROUND(SUM(E113:V113),0)</f>
        <v>92</v>
      </c>
    </row>
    <row r="114" spans="1:25" ht="22" customHeight="1">
      <c r="B114" s="1541" t="s">
        <v>14</v>
      </c>
      <c r="C114" s="1542" t="s">
        <v>259</v>
      </c>
      <c r="D114" s="1543">
        <v>20</v>
      </c>
      <c r="E114" s="1543">
        <v>22</v>
      </c>
      <c r="F114" s="1543">
        <v>24</v>
      </c>
      <c r="G114" s="1543">
        <v>26</v>
      </c>
      <c r="H114" s="1543">
        <v>28</v>
      </c>
      <c r="I114" s="1543">
        <v>30</v>
      </c>
      <c r="J114" s="1543">
        <v>31.5</v>
      </c>
      <c r="K114" s="1543">
        <v>33</v>
      </c>
      <c r="L114" s="1543">
        <v>34.5</v>
      </c>
      <c r="M114" s="1543">
        <f>IF($T$6="HP",M103+3,36)</f>
        <v>36</v>
      </c>
      <c r="N114" s="1543">
        <f>IF($T$6="HP",N103+3,37)</f>
        <v>37</v>
      </c>
      <c r="O114" s="1543">
        <f>IF($T$6="HP",O103+2,38)</f>
        <v>38</v>
      </c>
      <c r="P114" s="1543">
        <f>IF($T$6="HP",P103+2,39)</f>
        <v>39</v>
      </c>
      <c r="Q114" s="1543">
        <f>IF($T$6="HP",Q103+2,39.5)</f>
        <v>39.5</v>
      </c>
      <c r="R114" s="1543">
        <f>IF($T$6="HP",R103+2,40)</f>
        <v>40</v>
      </c>
      <c r="S114" s="1543">
        <f>IF($T$6="HP",S103+2,40.5)</f>
        <v>40.5</v>
      </c>
      <c r="T114" s="1543">
        <f>IF($T$6="HP",T103+2,41)</f>
        <v>41</v>
      </c>
      <c r="U114" s="1543">
        <f>IF($T$6="HP",U103+2,41)</f>
        <v>41</v>
      </c>
      <c r="V114" s="1543">
        <f>IF($T$6="HP",V103+2,41)</f>
        <v>41</v>
      </c>
      <c r="W114" s="1543">
        <f>IF($T$6="HP",W103+2,41)</f>
        <v>41</v>
      </c>
      <c r="X114" s="1543">
        <f>IF($T$6="HP",X103+2,41)</f>
        <v>41</v>
      </c>
      <c r="Y114" s="82"/>
    </row>
    <row r="115" spans="1:25" ht="22" customHeight="1">
      <c r="B115" s="1541" t="s">
        <v>453</v>
      </c>
      <c r="C115" s="1542" t="s">
        <v>260</v>
      </c>
      <c r="D115" s="1543">
        <f>IF($T$6="HP",D104+1.9,D104+1.9)</f>
        <v>16.599999999999998</v>
      </c>
      <c r="E115" s="1543">
        <f>IF($T$6="HP",E104+1.9,E104+1.9)</f>
        <v>17.399999999999999</v>
      </c>
      <c r="F115" s="1543">
        <f>IF($T$6="HP",F104+1.9,F104+1.9)</f>
        <v>17.917999999999999</v>
      </c>
      <c r="G115" s="1543">
        <f>IF($T$6="HP",G104+1.9,G104+1.9)</f>
        <v>18.594999999999999</v>
      </c>
      <c r="H115" s="1543">
        <f>IF($T$6="HP",H104+1.9,H104+1.9)</f>
        <v>19.099999999999998</v>
      </c>
      <c r="I115" s="1543">
        <f t="shared" ref="I115:X115" si="56">IF($T$6="HP",I104+1.9,I104+1.9)</f>
        <v>19.513999999999999</v>
      </c>
      <c r="J115" s="1543">
        <f t="shared" si="56"/>
        <v>19.7</v>
      </c>
      <c r="K115" s="1543">
        <f t="shared" si="56"/>
        <v>19.899999999999999</v>
      </c>
      <c r="L115" s="1543">
        <f t="shared" si="56"/>
        <v>19.899999999999999</v>
      </c>
      <c r="M115" s="1543">
        <f t="shared" si="56"/>
        <v>19.899999999999999</v>
      </c>
      <c r="N115" s="1543">
        <f t="shared" si="56"/>
        <v>19.799999999999997</v>
      </c>
      <c r="O115" s="1543">
        <f t="shared" si="56"/>
        <v>19.599999999999998</v>
      </c>
      <c r="P115" s="1543">
        <f>IF($T$6="HP",P104+1.85,P104+1.85)</f>
        <v>19.25</v>
      </c>
      <c r="Q115" s="1543">
        <f>IF($T$6="HP",Q104+1.8,Q104+1.8)</f>
        <v>18.8</v>
      </c>
      <c r="R115" s="1543">
        <f>IF($T$6="HP",R104+1.8,R104+1.8)</f>
        <v>18.3</v>
      </c>
      <c r="S115" s="1543">
        <f>IF($T$6="HP",S104+1.8,S104+1.8)</f>
        <v>17.8</v>
      </c>
      <c r="T115" s="1543">
        <f>IF($T$6="HP",T104+1.85,T104+1.85)</f>
        <v>17.150000000000002</v>
      </c>
      <c r="U115" s="1543">
        <f t="shared" si="56"/>
        <v>16.5</v>
      </c>
      <c r="V115" s="1543">
        <f t="shared" si="56"/>
        <v>15.8</v>
      </c>
      <c r="W115" s="1543">
        <f t="shared" si="56"/>
        <v>14.9</v>
      </c>
      <c r="X115" s="1543">
        <f t="shared" si="56"/>
        <v>14.1</v>
      </c>
      <c r="Y115" s="82"/>
    </row>
    <row r="116" spans="1:25" ht="22" customHeight="1">
      <c r="B116" s="1541" t="s">
        <v>14</v>
      </c>
      <c r="C116" s="1542" t="s">
        <v>261</v>
      </c>
      <c r="D116" s="1543">
        <f>$E$7</f>
        <v>13.4</v>
      </c>
      <c r="E116" s="1543">
        <f>$E$7</f>
        <v>13.4</v>
      </c>
      <c r="F116" s="1543">
        <f>$E$7</f>
        <v>13.4</v>
      </c>
      <c r="G116" s="1543">
        <f>$G$7</f>
        <v>13.2</v>
      </c>
      <c r="H116" s="1543">
        <f>$G$7</f>
        <v>13.2</v>
      </c>
      <c r="I116" s="1543">
        <f>$G$7</f>
        <v>13.2</v>
      </c>
      <c r="J116" s="1543">
        <f>$G$7</f>
        <v>13.2</v>
      </c>
      <c r="K116" s="1543">
        <f>$K$7</f>
        <v>13</v>
      </c>
      <c r="L116" s="1543">
        <f>$K$7</f>
        <v>13</v>
      </c>
      <c r="M116" s="1543">
        <f>$M$7</f>
        <v>13</v>
      </c>
      <c r="N116" s="1543">
        <f>$M$7</f>
        <v>13</v>
      </c>
      <c r="O116" s="1543">
        <f>$M$7</f>
        <v>13</v>
      </c>
      <c r="P116" s="1543">
        <f>$M$7</f>
        <v>13</v>
      </c>
      <c r="Q116" s="1543">
        <f>$Q$7</f>
        <v>13</v>
      </c>
      <c r="R116" s="1543">
        <f t="shared" ref="R116:X116" si="57">$Q$7</f>
        <v>13</v>
      </c>
      <c r="S116" s="1543">
        <f t="shared" si="57"/>
        <v>13</v>
      </c>
      <c r="T116" s="1543">
        <f t="shared" si="57"/>
        <v>13</v>
      </c>
      <c r="U116" s="1543">
        <f t="shared" si="57"/>
        <v>13</v>
      </c>
      <c r="V116" s="1543">
        <f t="shared" si="57"/>
        <v>13</v>
      </c>
      <c r="W116" s="1543">
        <f t="shared" si="57"/>
        <v>13</v>
      </c>
      <c r="X116" s="1543">
        <f t="shared" si="57"/>
        <v>13</v>
      </c>
      <c r="Y116" s="1801" t="s">
        <v>785</v>
      </c>
    </row>
    <row r="117" spans="1:25" s="17" customFormat="1" ht="22" customHeight="1">
      <c r="B117" s="97" t="s">
        <v>262</v>
      </c>
      <c r="C117" s="98" t="s">
        <v>669</v>
      </c>
      <c r="D117" s="96">
        <f t="shared" ref="D117:W118" si="58">D114/D116</f>
        <v>1.4925373134328357</v>
      </c>
      <c r="E117" s="96">
        <f t="shared" si="58"/>
        <v>1.6417910447761193</v>
      </c>
      <c r="F117" s="96">
        <f t="shared" si="58"/>
        <v>1.791044776119403</v>
      </c>
      <c r="G117" s="96">
        <f t="shared" si="58"/>
        <v>1.9696969696969697</v>
      </c>
      <c r="H117" s="96">
        <f t="shared" si="58"/>
        <v>2.1212121212121211</v>
      </c>
      <c r="I117" s="96">
        <f t="shared" si="58"/>
        <v>2.2727272727272729</v>
      </c>
      <c r="J117" s="96">
        <f t="shared" si="58"/>
        <v>2.3863636363636367</v>
      </c>
      <c r="K117" s="96">
        <f t="shared" si="58"/>
        <v>2.5384615384615383</v>
      </c>
      <c r="L117" s="96">
        <f t="shared" si="58"/>
        <v>2.6538461538461537</v>
      </c>
      <c r="M117" s="96">
        <f t="shared" si="58"/>
        <v>2.7692307692307692</v>
      </c>
      <c r="N117" s="96">
        <f t="shared" si="58"/>
        <v>2.8461538461538463</v>
      </c>
      <c r="O117" s="96">
        <f t="shared" si="58"/>
        <v>2.9230769230769229</v>
      </c>
      <c r="P117" s="96">
        <f t="shared" si="58"/>
        <v>3</v>
      </c>
      <c r="Q117" s="96">
        <f t="shared" si="58"/>
        <v>3.0384615384615383</v>
      </c>
      <c r="R117" s="96">
        <f t="shared" si="58"/>
        <v>3.0769230769230771</v>
      </c>
      <c r="S117" s="96">
        <f t="shared" si="58"/>
        <v>3.1153846153846154</v>
      </c>
      <c r="T117" s="96">
        <f t="shared" si="58"/>
        <v>3.1538461538461537</v>
      </c>
      <c r="U117" s="96">
        <f t="shared" si="58"/>
        <v>3.1538461538461537</v>
      </c>
      <c r="V117" s="96">
        <f t="shared" si="58"/>
        <v>3.1538461538461537</v>
      </c>
      <c r="W117" s="96">
        <f t="shared" si="58"/>
        <v>3.1538461538461537</v>
      </c>
      <c r="X117" s="96">
        <f>X114/X116</f>
        <v>3.1538461538461537</v>
      </c>
      <c r="Y117" s="1802"/>
    </row>
    <row r="118" spans="1:25" ht="22" customHeight="1" thickBot="1">
      <c r="B118" s="79" t="s">
        <v>453</v>
      </c>
      <c r="C118" s="80" t="s">
        <v>263</v>
      </c>
      <c r="D118" s="81">
        <f t="shared" si="58"/>
        <v>11.122</v>
      </c>
      <c r="E118" s="81">
        <f t="shared" si="58"/>
        <v>10.598181818181818</v>
      </c>
      <c r="F118" s="81">
        <f t="shared" si="58"/>
        <v>10.004216666666666</v>
      </c>
      <c r="G118" s="81">
        <f t="shared" si="58"/>
        <v>9.4405384615384609</v>
      </c>
      <c r="H118" s="81">
        <f t="shared" si="58"/>
        <v>9.0042857142857144</v>
      </c>
      <c r="I118" s="81">
        <f t="shared" si="58"/>
        <v>8.5861599999999996</v>
      </c>
      <c r="J118" s="81">
        <f t="shared" si="58"/>
        <v>8.2552380952380933</v>
      </c>
      <c r="K118" s="81">
        <f t="shared" si="58"/>
        <v>7.8393939393939389</v>
      </c>
      <c r="L118" s="81">
        <f t="shared" si="58"/>
        <v>7.4985507246376812</v>
      </c>
      <c r="M118" s="81">
        <f t="shared" si="58"/>
        <v>7.1861111111111109</v>
      </c>
      <c r="N118" s="81">
        <f t="shared" si="58"/>
        <v>6.9567567567567554</v>
      </c>
      <c r="O118" s="81">
        <f t="shared" si="58"/>
        <v>6.7052631578947368</v>
      </c>
      <c r="P118" s="81">
        <f t="shared" si="58"/>
        <v>6.416666666666667</v>
      </c>
      <c r="Q118" s="81">
        <f t="shared" si="58"/>
        <v>6.1873417721518988</v>
      </c>
      <c r="R118" s="81">
        <f t="shared" si="58"/>
        <v>5.9474999999999998</v>
      </c>
      <c r="S118" s="81">
        <f t="shared" si="58"/>
        <v>5.7135802469135806</v>
      </c>
      <c r="T118" s="81">
        <f t="shared" si="58"/>
        <v>5.4378048780487811</v>
      </c>
      <c r="U118" s="81">
        <f t="shared" si="58"/>
        <v>5.2317073170731705</v>
      </c>
      <c r="V118" s="81">
        <f t="shared" si="58"/>
        <v>5.0097560975609756</v>
      </c>
      <c r="W118" s="81">
        <f t="shared" si="58"/>
        <v>4.7243902439024392</v>
      </c>
      <c r="X118" s="81">
        <f>X115/X117</f>
        <v>4.4707317073170731</v>
      </c>
      <c r="Y118" s="1803"/>
    </row>
    <row r="119" spans="1:25" s="75" customFormat="1" ht="22" customHeight="1" thickBot="1">
      <c r="B119" s="97" t="s">
        <v>471</v>
      </c>
      <c r="C119" s="98" t="s">
        <v>472</v>
      </c>
      <c r="D119" s="595">
        <f>D117/(D112/1000)</f>
        <v>1.7726096359059806</v>
      </c>
      <c r="E119" s="595">
        <f t="shared" ref="E119:X119" si="59">E117/(E112/1000)</f>
        <v>1.8551311240408126</v>
      </c>
      <c r="F119" s="595">
        <f t="shared" si="59"/>
        <v>1.9425648331013048</v>
      </c>
      <c r="G119" s="595">
        <f t="shared" si="59"/>
        <v>2.0625099159130573</v>
      </c>
      <c r="H119" s="595">
        <f t="shared" si="59"/>
        <v>2.1578963593205707</v>
      </c>
      <c r="I119" s="595">
        <f t="shared" si="59"/>
        <v>2.2591722392915239</v>
      </c>
      <c r="J119" s="595">
        <f t="shared" si="59"/>
        <v>2.3304332386363638</v>
      </c>
      <c r="K119" s="595">
        <f t="shared" si="59"/>
        <v>2.4478896224315703</v>
      </c>
      <c r="L119" s="595">
        <f t="shared" si="59"/>
        <v>2.5395656974604344</v>
      </c>
      <c r="M119" s="595">
        <f t="shared" si="59"/>
        <v>2.6423957721667644</v>
      </c>
      <c r="N119" s="595">
        <f t="shared" si="59"/>
        <v>2.7209883806442123</v>
      </c>
      <c r="O119" s="595">
        <f t="shared" si="59"/>
        <v>2.8215028215028211</v>
      </c>
      <c r="P119" s="595">
        <f t="shared" si="59"/>
        <v>2.9211295034079847</v>
      </c>
      <c r="Q119" s="595">
        <f t="shared" si="59"/>
        <v>3.008377760853008</v>
      </c>
      <c r="R119" s="595">
        <f t="shared" si="59"/>
        <v>3.1174499259605644</v>
      </c>
      <c r="S119" s="595">
        <f t="shared" si="59"/>
        <v>3.2451923076923079</v>
      </c>
      <c r="T119" s="595">
        <f t="shared" si="59"/>
        <v>3.398541114058355</v>
      </c>
      <c r="U119" s="595">
        <f t="shared" si="59"/>
        <v>3.539670206336873</v>
      </c>
      <c r="V119" s="595">
        <f t="shared" si="59"/>
        <v>3.7147775663676725</v>
      </c>
      <c r="W119" s="595">
        <f t="shared" si="59"/>
        <v>3.9324765010550542</v>
      </c>
      <c r="X119" s="595">
        <f t="shared" si="59"/>
        <v>4.2051282051282053</v>
      </c>
      <c r="Y119" s="596">
        <f>Y120/90</f>
        <v>2.7069549105103445</v>
      </c>
    </row>
    <row r="120" spans="1:25" s="75" customFormat="1" ht="22" customHeight="1" thickBot="1">
      <c r="B120" s="97" t="s">
        <v>521</v>
      </c>
      <c r="C120" s="98" t="s">
        <v>666</v>
      </c>
      <c r="D120" s="595">
        <f>D117*5/(D112/1000)</f>
        <v>8.863048179529903</v>
      </c>
      <c r="E120" s="595">
        <f t="shared" ref="E120:X120" si="60">E117*5/(E112/1000)</f>
        <v>9.2756556202040645</v>
      </c>
      <c r="F120" s="595">
        <f t="shared" si="60"/>
        <v>9.7128241655065253</v>
      </c>
      <c r="G120" s="595">
        <f t="shared" si="60"/>
        <v>10.312549579565285</v>
      </c>
      <c r="H120" s="595">
        <f t="shared" si="60"/>
        <v>10.789481796602853</v>
      </c>
      <c r="I120" s="595">
        <f t="shared" si="60"/>
        <v>11.295861196457619</v>
      </c>
      <c r="J120" s="595">
        <f t="shared" si="60"/>
        <v>11.65216619318182</v>
      </c>
      <c r="K120" s="595">
        <f t="shared" si="60"/>
        <v>12.239448112157852</v>
      </c>
      <c r="L120" s="595">
        <f t="shared" si="60"/>
        <v>12.697828487302171</v>
      </c>
      <c r="M120" s="595">
        <f t="shared" si="60"/>
        <v>13.211978860833822</v>
      </c>
      <c r="N120" s="595">
        <f t="shared" si="60"/>
        <v>13.604941903221063</v>
      </c>
      <c r="O120" s="595">
        <f t="shared" si="60"/>
        <v>14.107514107514106</v>
      </c>
      <c r="P120" s="595">
        <f t="shared" si="60"/>
        <v>14.605647517039923</v>
      </c>
      <c r="Q120" s="595">
        <f t="shared" si="60"/>
        <v>15.04188880426504</v>
      </c>
      <c r="R120" s="595">
        <f t="shared" si="60"/>
        <v>15.587249629802821</v>
      </c>
      <c r="S120" s="595">
        <f t="shared" si="60"/>
        <v>16.22596153846154</v>
      </c>
      <c r="T120" s="595">
        <f t="shared" si="60"/>
        <v>16.992705570291776</v>
      </c>
      <c r="U120" s="595">
        <f t="shared" si="60"/>
        <v>17.698351031684364</v>
      </c>
      <c r="V120" s="595">
        <f t="shared" si="60"/>
        <v>18.573887831838363</v>
      </c>
      <c r="W120" s="595">
        <f t="shared" si="60"/>
        <v>19.662382505275271</v>
      </c>
      <c r="X120" s="595">
        <f t="shared" si="60"/>
        <v>21.025641025641026</v>
      </c>
      <c r="Y120" s="597">
        <f>SUM(E120:V120)</f>
        <v>243.625941945931</v>
      </c>
    </row>
    <row r="121" spans="1:25" s="75" customFormat="1" ht="22" customHeight="1">
      <c r="A121" s="1272"/>
      <c r="B121" s="1273"/>
      <c r="C121" s="1274"/>
      <c r="D121" s="1271"/>
      <c r="E121" s="1271"/>
      <c r="F121" s="1271"/>
      <c r="G121" s="1271"/>
      <c r="H121" s="1271"/>
      <c r="I121" s="1271"/>
      <c r="J121" s="1271"/>
      <c r="K121" s="1271"/>
      <c r="L121" s="1271"/>
      <c r="M121" s="1271"/>
      <c r="N121" s="1271"/>
      <c r="O121" s="1271"/>
      <c r="P121" s="1271"/>
      <c r="Q121" s="1271"/>
      <c r="R121" s="1271"/>
      <c r="S121" s="1271"/>
      <c r="T121" s="1271"/>
      <c r="U121" s="1271"/>
      <c r="V121" s="1271"/>
      <c r="W121" s="1271"/>
      <c r="X121" s="1271"/>
      <c r="Y121" s="1275"/>
    </row>
    <row r="122" spans="1:25" ht="22" customHeight="1"/>
    <row r="123" spans="1:25" ht="22" customHeight="1">
      <c r="B123" s="1808" t="s">
        <v>1024</v>
      </c>
      <c r="C123" s="1808"/>
      <c r="D123" s="1808"/>
      <c r="E123" s="1808"/>
      <c r="F123" s="1808"/>
      <c r="G123" s="1808"/>
      <c r="H123" s="1808"/>
      <c r="I123" s="1808"/>
      <c r="J123" s="1808"/>
      <c r="K123" s="1808"/>
      <c r="L123" s="1808"/>
      <c r="M123" s="1808"/>
      <c r="N123" s="1808"/>
      <c r="O123" s="1808"/>
      <c r="P123" s="1808"/>
      <c r="Q123" s="1808"/>
      <c r="R123" s="1808"/>
      <c r="S123" s="1808"/>
      <c r="T123" s="1808"/>
      <c r="U123" s="1808"/>
      <c r="V123" s="1808"/>
      <c r="W123" s="1808"/>
      <c r="X123" s="1808"/>
    </row>
    <row r="124" spans="1:25" ht="22" customHeight="1">
      <c r="J124" s="1260" t="str">
        <f>B123</f>
        <v>Futterkurve  Ebermast 850g TZ in Anlehnung an den Rechenmeister NRW 2010 + 2014</v>
      </c>
    </row>
    <row r="125" spans="1:25" ht="22" customHeight="1">
      <c r="A125" s="1276"/>
      <c r="B125" s="73" t="s">
        <v>257</v>
      </c>
      <c r="C125" s="1253">
        <v>25</v>
      </c>
      <c r="D125" s="1253">
        <v>25</v>
      </c>
      <c r="E125" s="74">
        <v>30</v>
      </c>
      <c r="F125" s="74">
        <v>35</v>
      </c>
      <c r="G125" s="74">
        <v>40</v>
      </c>
      <c r="H125" s="74">
        <v>45</v>
      </c>
      <c r="I125" s="74">
        <v>50</v>
      </c>
      <c r="J125" s="74">
        <v>55</v>
      </c>
      <c r="K125" s="74">
        <v>60</v>
      </c>
      <c r="L125" s="74">
        <v>65</v>
      </c>
      <c r="M125" s="74">
        <v>70</v>
      </c>
      <c r="N125" s="74">
        <v>75</v>
      </c>
      <c r="O125" s="74">
        <v>80</v>
      </c>
      <c r="P125" s="74">
        <v>85</v>
      </c>
      <c r="Q125" s="74">
        <v>90</v>
      </c>
      <c r="R125" s="74">
        <v>95</v>
      </c>
      <c r="S125" s="74">
        <v>100</v>
      </c>
      <c r="T125" s="74">
        <v>105</v>
      </c>
      <c r="U125" s="74">
        <v>110</v>
      </c>
      <c r="V125" s="74">
        <v>115</v>
      </c>
      <c r="W125" s="74">
        <v>120</v>
      </c>
      <c r="X125" s="1253">
        <v>125</v>
      </c>
      <c r="Y125" s="1801" t="s">
        <v>784</v>
      </c>
    </row>
    <row r="126" spans="1:25" ht="22" customHeight="1" thickBot="1">
      <c r="A126" s="1273"/>
      <c r="B126" s="76" t="s">
        <v>258</v>
      </c>
      <c r="C126" s="598">
        <f>ROUND(AVERAGE(E126:W126),-1)</f>
        <v>850</v>
      </c>
      <c r="D126" s="1254">
        <f>692-20+50</f>
        <v>722</v>
      </c>
      <c r="E126" s="77">
        <f>760-70+50</f>
        <v>740</v>
      </c>
      <c r="F126" s="77">
        <f>797-70+50</f>
        <v>777</v>
      </c>
      <c r="G126" s="77">
        <f>830-70+50</f>
        <v>810</v>
      </c>
      <c r="H126" s="77">
        <f>858-70+50</f>
        <v>838</v>
      </c>
      <c r="I126" s="77">
        <f>881-80+50</f>
        <v>851</v>
      </c>
      <c r="J126" s="77">
        <f>899-90+50</f>
        <v>859</v>
      </c>
      <c r="K126" s="77">
        <f>912-90+50</f>
        <v>872</v>
      </c>
      <c r="L126" s="77">
        <f>920-90+50</f>
        <v>880</v>
      </c>
      <c r="M126" s="77">
        <f>923-80+50</f>
        <v>893</v>
      </c>
      <c r="N126" s="77">
        <f>921-70+50</f>
        <v>901</v>
      </c>
      <c r="O126" s="77">
        <f>914-20+50</f>
        <v>944</v>
      </c>
      <c r="P126" s="77">
        <f>902-20+50</f>
        <v>932</v>
      </c>
      <c r="Q126" s="77">
        <f>885-20+50</f>
        <v>915</v>
      </c>
      <c r="R126" s="77">
        <f>862-20+50</f>
        <v>892</v>
      </c>
      <c r="S126" s="77">
        <f>835-20+50</f>
        <v>865</v>
      </c>
      <c r="T126" s="77">
        <f>803-20+50</f>
        <v>833</v>
      </c>
      <c r="U126" s="77">
        <f>766-20+50</f>
        <v>796</v>
      </c>
      <c r="V126" s="77">
        <f>724-20+50</f>
        <v>754</v>
      </c>
      <c r="W126" s="77">
        <f>677-20+50</f>
        <v>707</v>
      </c>
      <c r="X126" s="1254">
        <f>625-20+50</f>
        <v>655</v>
      </c>
      <c r="Y126" s="1807"/>
    </row>
    <row r="127" spans="1:25" ht="22" customHeight="1" thickBot="1">
      <c r="A127" s="1273"/>
      <c r="B127" s="1251" t="s">
        <v>782</v>
      </c>
      <c r="C127" s="1252" t="s">
        <v>783</v>
      </c>
      <c r="D127" s="1256">
        <f>5/D126*1000</f>
        <v>6.9252077562326866</v>
      </c>
      <c r="E127" s="1257">
        <f t="shared" ref="E127:X127" si="61">5/E126*1000</f>
        <v>6.756756756756757</v>
      </c>
      <c r="F127" s="1257">
        <f t="shared" si="61"/>
        <v>6.4350064350064349</v>
      </c>
      <c r="G127" s="1257">
        <f t="shared" si="61"/>
        <v>6.1728395061728394</v>
      </c>
      <c r="H127" s="1257">
        <f t="shared" si="61"/>
        <v>5.9665871121718377</v>
      </c>
      <c r="I127" s="1257">
        <f t="shared" si="61"/>
        <v>5.8754406580493539</v>
      </c>
      <c r="J127" s="1257">
        <f t="shared" si="61"/>
        <v>5.8207217694994187</v>
      </c>
      <c r="K127" s="1257">
        <f t="shared" si="61"/>
        <v>5.7339449541284404</v>
      </c>
      <c r="L127" s="1257">
        <f t="shared" si="61"/>
        <v>5.6818181818181817</v>
      </c>
      <c r="M127" s="1257">
        <f t="shared" si="61"/>
        <v>5.5991041433370663</v>
      </c>
      <c r="N127" s="1257">
        <f t="shared" si="61"/>
        <v>5.5493895671476139</v>
      </c>
      <c r="O127" s="1257">
        <f t="shared" si="61"/>
        <v>5.2966101694915251</v>
      </c>
      <c r="P127" s="1257">
        <f t="shared" si="61"/>
        <v>5.3648068669527893</v>
      </c>
      <c r="Q127" s="1257">
        <f t="shared" si="61"/>
        <v>5.4644808743169397</v>
      </c>
      <c r="R127" s="1257">
        <f t="shared" si="61"/>
        <v>5.6053811659192823</v>
      </c>
      <c r="S127" s="1257">
        <f t="shared" si="61"/>
        <v>5.7803468208092479</v>
      </c>
      <c r="T127" s="1257">
        <f t="shared" si="61"/>
        <v>6.0024009603841542</v>
      </c>
      <c r="U127" s="1257">
        <f t="shared" si="61"/>
        <v>6.2814070351758797</v>
      </c>
      <c r="V127" s="1257">
        <f t="shared" si="61"/>
        <v>6.6312997347480112</v>
      </c>
      <c r="W127" s="1258">
        <f t="shared" si="61"/>
        <v>7.0721357850070721</v>
      </c>
      <c r="X127" s="1259">
        <f t="shared" si="61"/>
        <v>7.6335877862595414</v>
      </c>
      <c r="Y127" s="1255">
        <f>ROUND(SUM(E127:V127),0)</f>
        <v>106</v>
      </c>
    </row>
    <row r="128" spans="1:25" ht="22" customHeight="1">
      <c r="B128" s="599" t="s">
        <v>14</v>
      </c>
      <c r="C128" s="600" t="s">
        <v>259</v>
      </c>
      <c r="D128" s="206">
        <v>17</v>
      </c>
      <c r="E128" s="206">
        <v>19</v>
      </c>
      <c r="F128" s="206">
        <v>21</v>
      </c>
      <c r="G128" s="206">
        <v>23</v>
      </c>
      <c r="H128" s="206">
        <v>24.5</v>
      </c>
      <c r="I128" s="206">
        <v>28</v>
      </c>
      <c r="J128" s="206">
        <v>29.5</v>
      </c>
      <c r="K128" s="206">
        <v>31</v>
      </c>
      <c r="L128" s="206">
        <v>31.5</v>
      </c>
      <c r="M128" s="206">
        <v>32</v>
      </c>
      <c r="N128" s="206">
        <v>32.5</v>
      </c>
      <c r="O128" s="206">
        <v>33</v>
      </c>
      <c r="P128" s="206">
        <v>33</v>
      </c>
      <c r="Q128" s="206">
        <v>33</v>
      </c>
      <c r="R128" s="206">
        <v>33</v>
      </c>
      <c r="S128" s="206">
        <v>33</v>
      </c>
      <c r="T128" s="206">
        <v>33</v>
      </c>
      <c r="U128" s="206">
        <v>33</v>
      </c>
      <c r="V128" s="206">
        <v>33</v>
      </c>
      <c r="W128" s="206">
        <v>33</v>
      </c>
      <c r="X128" s="206">
        <v>33</v>
      </c>
      <c r="Y128" s="82"/>
    </row>
    <row r="129" spans="2:25" ht="22" customHeight="1">
      <c r="B129" s="599" t="s">
        <v>453</v>
      </c>
      <c r="C129" s="600" t="s">
        <v>260</v>
      </c>
      <c r="D129" s="206">
        <f>0.87*D128</f>
        <v>14.79</v>
      </c>
      <c r="E129" s="206">
        <f>0.835*E128</f>
        <v>15.864999999999998</v>
      </c>
      <c r="F129" s="206">
        <f>0.8*F128</f>
        <v>16.8</v>
      </c>
      <c r="G129" s="206">
        <f>0.75*G128</f>
        <v>17.25</v>
      </c>
      <c r="H129" s="206">
        <f>0.744*H128</f>
        <v>18.228000000000002</v>
      </c>
      <c r="I129" s="206">
        <f>0.735*I128</f>
        <v>20.58</v>
      </c>
      <c r="J129" s="206">
        <f>0.7*J128</f>
        <v>20.65</v>
      </c>
      <c r="K129" s="206">
        <f>0.666*K128</f>
        <v>20.646000000000001</v>
      </c>
      <c r="L129" s="206">
        <f>0.645*L128</f>
        <v>20.317499999999999</v>
      </c>
      <c r="M129" s="206">
        <f>0.645*M128</f>
        <v>20.64</v>
      </c>
      <c r="N129" s="206">
        <f>0.633*N128</f>
        <v>20.572500000000002</v>
      </c>
      <c r="O129" s="206">
        <f>0.62*O128</f>
        <v>20.46</v>
      </c>
      <c r="P129" s="206">
        <f>0.605*P128</f>
        <v>19.965</v>
      </c>
      <c r="Q129" s="206">
        <f t="shared" ref="Q129:X129" si="62">0.59*Q128</f>
        <v>19.47</v>
      </c>
      <c r="R129" s="206">
        <f t="shared" si="62"/>
        <v>19.47</v>
      </c>
      <c r="S129" s="206">
        <f t="shared" si="62"/>
        <v>19.47</v>
      </c>
      <c r="T129" s="206">
        <f t="shared" si="62"/>
        <v>19.47</v>
      </c>
      <c r="U129" s="206">
        <f t="shared" si="62"/>
        <v>19.47</v>
      </c>
      <c r="V129" s="206">
        <f t="shared" si="62"/>
        <v>19.47</v>
      </c>
      <c r="W129" s="206">
        <f t="shared" si="62"/>
        <v>19.47</v>
      </c>
      <c r="X129" s="206">
        <f t="shared" si="62"/>
        <v>19.47</v>
      </c>
      <c r="Y129" s="82"/>
    </row>
    <row r="130" spans="2:25" ht="22" customHeight="1">
      <c r="B130" s="599" t="s">
        <v>14</v>
      </c>
      <c r="C130" s="600" t="s">
        <v>261</v>
      </c>
      <c r="D130" s="206">
        <f>$E$7</f>
        <v>13.4</v>
      </c>
      <c r="E130" s="206">
        <f>$E$7</f>
        <v>13.4</v>
      </c>
      <c r="F130" s="206">
        <f>$E$7</f>
        <v>13.4</v>
      </c>
      <c r="G130" s="206">
        <f>$E$7</f>
        <v>13.4</v>
      </c>
      <c r="H130" s="206">
        <f>$G$7</f>
        <v>13.2</v>
      </c>
      <c r="I130" s="206">
        <f>$G$7</f>
        <v>13.2</v>
      </c>
      <c r="J130" s="206">
        <f>$G$7</f>
        <v>13.2</v>
      </c>
      <c r="K130" s="206">
        <f>$G$7</f>
        <v>13.2</v>
      </c>
      <c r="L130" s="206">
        <f>$K$7</f>
        <v>13</v>
      </c>
      <c r="M130" s="206">
        <f>$K$7</f>
        <v>13</v>
      </c>
      <c r="N130" s="206">
        <f>$M$7</f>
        <v>13</v>
      </c>
      <c r="O130" s="206">
        <f>$M$7</f>
        <v>13</v>
      </c>
      <c r="P130" s="206">
        <f>$M$7</f>
        <v>13</v>
      </c>
      <c r="Q130" s="206">
        <f>$M$7</f>
        <v>13</v>
      </c>
      <c r="R130" s="206">
        <f>$Q$7</f>
        <v>13</v>
      </c>
      <c r="S130" s="206">
        <f t="shared" ref="S130:X130" si="63">$Q$7</f>
        <v>13</v>
      </c>
      <c r="T130" s="206">
        <f t="shared" si="63"/>
        <v>13</v>
      </c>
      <c r="U130" s="206">
        <f t="shared" si="63"/>
        <v>13</v>
      </c>
      <c r="V130" s="206">
        <f t="shared" si="63"/>
        <v>13</v>
      </c>
      <c r="W130" s="206">
        <f t="shared" si="63"/>
        <v>13</v>
      </c>
      <c r="X130" s="206">
        <f t="shared" si="63"/>
        <v>13</v>
      </c>
      <c r="Y130" s="1801" t="s">
        <v>785</v>
      </c>
    </row>
    <row r="131" spans="2:25" s="17" customFormat="1" ht="22" customHeight="1">
      <c r="B131" s="97" t="s">
        <v>262</v>
      </c>
      <c r="C131" s="98" t="s">
        <v>669</v>
      </c>
      <c r="D131" s="96">
        <f>D128/D130</f>
        <v>1.2686567164179103</v>
      </c>
      <c r="E131" s="96">
        <f>E128/E130</f>
        <v>1.4179104477611939</v>
      </c>
      <c r="F131" s="96">
        <f t="shared" ref="F131:X131" si="64">F128/F130</f>
        <v>1.5671641791044775</v>
      </c>
      <c r="G131" s="96">
        <f t="shared" si="64"/>
        <v>1.716417910447761</v>
      </c>
      <c r="H131" s="96">
        <f t="shared" si="64"/>
        <v>1.8560606060606062</v>
      </c>
      <c r="I131" s="96">
        <f t="shared" si="64"/>
        <v>2.1212121212121211</v>
      </c>
      <c r="J131" s="96">
        <f t="shared" si="64"/>
        <v>2.2348484848484849</v>
      </c>
      <c r="K131" s="96">
        <f t="shared" si="64"/>
        <v>2.3484848484848486</v>
      </c>
      <c r="L131" s="96">
        <f t="shared" si="64"/>
        <v>2.4230769230769229</v>
      </c>
      <c r="M131" s="96">
        <f t="shared" si="64"/>
        <v>2.4615384615384617</v>
      </c>
      <c r="N131" s="96">
        <f t="shared" si="64"/>
        <v>2.5</v>
      </c>
      <c r="O131" s="96">
        <f t="shared" si="64"/>
        <v>2.5384615384615383</v>
      </c>
      <c r="P131" s="96">
        <f t="shared" si="64"/>
        <v>2.5384615384615383</v>
      </c>
      <c r="Q131" s="96">
        <f t="shared" si="64"/>
        <v>2.5384615384615383</v>
      </c>
      <c r="R131" s="96">
        <f t="shared" si="64"/>
        <v>2.5384615384615383</v>
      </c>
      <c r="S131" s="96">
        <f t="shared" si="64"/>
        <v>2.5384615384615383</v>
      </c>
      <c r="T131" s="96">
        <f t="shared" si="64"/>
        <v>2.5384615384615383</v>
      </c>
      <c r="U131" s="96">
        <f t="shared" si="64"/>
        <v>2.5384615384615383</v>
      </c>
      <c r="V131" s="96">
        <f t="shared" si="64"/>
        <v>2.5384615384615383</v>
      </c>
      <c r="W131" s="96">
        <f t="shared" si="64"/>
        <v>2.5384615384615383</v>
      </c>
      <c r="X131" s="96">
        <f t="shared" si="64"/>
        <v>2.5384615384615383</v>
      </c>
      <c r="Y131" s="1802"/>
    </row>
    <row r="132" spans="2:25" ht="22" customHeight="1" thickBot="1">
      <c r="B132" s="79" t="s">
        <v>453</v>
      </c>
      <c r="C132" s="80" t="s">
        <v>263</v>
      </c>
      <c r="D132" s="81">
        <f>D129/D131</f>
        <v>11.658000000000001</v>
      </c>
      <c r="E132" s="81">
        <f t="shared" ref="E132:X132" si="65">E129/E131</f>
        <v>11.189</v>
      </c>
      <c r="F132" s="81">
        <f t="shared" si="65"/>
        <v>10.72</v>
      </c>
      <c r="G132" s="81">
        <f t="shared" si="65"/>
        <v>10.050000000000001</v>
      </c>
      <c r="H132" s="81">
        <f t="shared" si="65"/>
        <v>9.8208000000000002</v>
      </c>
      <c r="I132" s="81">
        <f t="shared" si="65"/>
        <v>9.702</v>
      </c>
      <c r="J132" s="81">
        <f t="shared" si="65"/>
        <v>9.2399999999999984</v>
      </c>
      <c r="K132" s="81">
        <f t="shared" si="65"/>
        <v>8.7911999999999999</v>
      </c>
      <c r="L132" s="81">
        <f t="shared" si="65"/>
        <v>8.3849999999999998</v>
      </c>
      <c r="M132" s="81">
        <f t="shared" si="65"/>
        <v>8.3849999999999998</v>
      </c>
      <c r="N132" s="81">
        <f t="shared" si="65"/>
        <v>8.229000000000001</v>
      </c>
      <c r="O132" s="81">
        <f t="shared" si="65"/>
        <v>8.06</v>
      </c>
      <c r="P132" s="81">
        <f t="shared" si="65"/>
        <v>7.8650000000000002</v>
      </c>
      <c r="Q132" s="81">
        <f t="shared" si="65"/>
        <v>7.67</v>
      </c>
      <c r="R132" s="81">
        <f t="shared" si="65"/>
        <v>7.67</v>
      </c>
      <c r="S132" s="81">
        <f t="shared" si="65"/>
        <v>7.67</v>
      </c>
      <c r="T132" s="81">
        <f t="shared" si="65"/>
        <v>7.67</v>
      </c>
      <c r="U132" s="81">
        <f t="shared" si="65"/>
        <v>7.67</v>
      </c>
      <c r="V132" s="81">
        <f t="shared" si="65"/>
        <v>7.67</v>
      </c>
      <c r="W132" s="81">
        <f t="shared" si="65"/>
        <v>7.67</v>
      </c>
      <c r="X132" s="81">
        <f t="shared" si="65"/>
        <v>7.67</v>
      </c>
      <c r="Y132" s="1803"/>
    </row>
    <row r="133" spans="2:25" s="75" customFormat="1" ht="22" customHeight="1" thickBot="1">
      <c r="B133" s="97" t="s">
        <v>471</v>
      </c>
      <c r="C133" s="98" t="s">
        <v>472</v>
      </c>
      <c r="D133" s="595">
        <f>D131/(D126/1000)</f>
        <v>1.7571422665068011</v>
      </c>
      <c r="E133" s="595">
        <f>E131/(E126/1000)</f>
        <v>1.916095199677289</v>
      </c>
      <c r="F133" s="595">
        <f t="shared" ref="F133:X133" si="66">F131/(F126/1000)</f>
        <v>2.0169423154497781</v>
      </c>
      <c r="G133" s="595">
        <f t="shared" si="66"/>
        <v>2.1190344573429147</v>
      </c>
      <c r="H133" s="595">
        <f t="shared" si="66"/>
        <v>2.2148694583062127</v>
      </c>
      <c r="I133" s="595">
        <f t="shared" si="66"/>
        <v>2.4926111882633619</v>
      </c>
      <c r="J133" s="595">
        <f t="shared" si="66"/>
        <v>2.6016862454580734</v>
      </c>
      <c r="K133" s="595">
        <f t="shared" si="66"/>
        <v>2.6932165693633587</v>
      </c>
      <c r="L133" s="595">
        <f t="shared" si="66"/>
        <v>2.7534965034965033</v>
      </c>
      <c r="M133" s="595">
        <f t="shared" si="66"/>
        <v>2.7564820397967096</v>
      </c>
      <c r="N133" s="595">
        <f t="shared" si="66"/>
        <v>2.7746947835738069</v>
      </c>
      <c r="O133" s="595">
        <f t="shared" si="66"/>
        <v>2.6890482398956976</v>
      </c>
      <c r="P133" s="595">
        <f t="shared" si="66"/>
        <v>2.7236711786068004</v>
      </c>
      <c r="Q133" s="595">
        <f t="shared" si="66"/>
        <v>2.774274905422446</v>
      </c>
      <c r="R133" s="595">
        <f t="shared" si="66"/>
        <v>2.8458088996205588</v>
      </c>
      <c r="S133" s="595">
        <f t="shared" si="66"/>
        <v>2.9346376167185415</v>
      </c>
      <c r="T133" s="595">
        <f t="shared" si="66"/>
        <v>3.0473727952719547</v>
      </c>
      <c r="U133" s="595">
        <f t="shared" si="66"/>
        <v>3.1890220332431385</v>
      </c>
      <c r="V133" s="595">
        <f t="shared" si="66"/>
        <v>3.3666598653336051</v>
      </c>
      <c r="W133" s="595">
        <f t="shared" si="66"/>
        <v>3.5904689370035903</v>
      </c>
      <c r="X133" s="595">
        <f t="shared" si="66"/>
        <v>3.8755137991779209</v>
      </c>
      <c r="Y133" s="596">
        <f>Y134/90</f>
        <v>2.66164579415782</v>
      </c>
    </row>
    <row r="134" spans="2:25" s="75" customFormat="1" ht="22" customHeight="1" thickBot="1">
      <c r="B134" s="97" t="s">
        <v>521</v>
      </c>
      <c r="C134" s="98" t="s">
        <v>666</v>
      </c>
      <c r="D134" s="595">
        <f>D131*5/(D126/1000)</f>
        <v>8.7857113325340048</v>
      </c>
      <c r="E134" s="595">
        <f>E131*5/(E126/1000)</f>
        <v>9.5804759983864454</v>
      </c>
      <c r="F134" s="595">
        <f t="shared" ref="F134:X134" si="67">F131*5/(F126/1000)</f>
        <v>10.084711577248889</v>
      </c>
      <c r="G134" s="595">
        <f t="shared" si="67"/>
        <v>10.595172286714574</v>
      </c>
      <c r="H134" s="595">
        <f t="shared" si="67"/>
        <v>11.074347291531064</v>
      </c>
      <c r="I134" s="595">
        <f t="shared" si="67"/>
        <v>12.46305594131681</v>
      </c>
      <c r="J134" s="595">
        <f t="shared" si="67"/>
        <v>13.008431227290366</v>
      </c>
      <c r="K134" s="595">
        <f t="shared" si="67"/>
        <v>13.466082846816791</v>
      </c>
      <c r="L134" s="595">
        <f t="shared" si="67"/>
        <v>13.767482517482517</v>
      </c>
      <c r="M134" s="595">
        <f t="shared" si="67"/>
        <v>13.782410198983548</v>
      </c>
      <c r="N134" s="595">
        <f t="shared" si="67"/>
        <v>13.873473917869035</v>
      </c>
      <c r="O134" s="595">
        <f t="shared" si="67"/>
        <v>13.445241199478488</v>
      </c>
      <c r="P134" s="595">
        <f t="shared" si="67"/>
        <v>13.618355893034003</v>
      </c>
      <c r="Q134" s="595">
        <f t="shared" si="67"/>
        <v>13.871374527112231</v>
      </c>
      <c r="R134" s="595">
        <f t="shared" si="67"/>
        <v>14.229044498102793</v>
      </c>
      <c r="S134" s="595">
        <f t="shared" si="67"/>
        <v>14.673188083592708</v>
      </c>
      <c r="T134" s="595">
        <f t="shared" si="67"/>
        <v>15.236863976359775</v>
      </c>
      <c r="U134" s="595">
        <f t="shared" si="67"/>
        <v>15.945110166215692</v>
      </c>
      <c r="V134" s="595">
        <f t="shared" si="67"/>
        <v>16.833299326668026</v>
      </c>
      <c r="W134" s="595">
        <f t="shared" si="67"/>
        <v>17.952344685017952</v>
      </c>
      <c r="X134" s="595">
        <f t="shared" si="67"/>
        <v>19.377568995889604</v>
      </c>
      <c r="Y134" s="597">
        <f>SUM(E134:V134)</f>
        <v>239.54812147420378</v>
      </c>
    </row>
  </sheetData>
  <sheetProtection sheet="1" objects="1" scenarios="1" selectLockedCells="1"/>
  <customSheetViews>
    <customSheetView guid="{459F3284-99E1-4A46-80B6-CF44B0CB392E}" scale="89" fitToPage="1">
      <selection activeCell="D4" sqref="D4"/>
      <printOptions horizontalCentered="1"/>
      <pageSetup paperSize="9" scale="83" fitToHeight="3" orientation="landscape"/>
      <headerFooter alignWithMargins="0"/>
    </customSheetView>
  </customSheetViews>
  <mergeCells count="25">
    <mergeCell ref="Y58:Y60"/>
    <mergeCell ref="Y75:Y76"/>
    <mergeCell ref="Y80:Y82"/>
    <mergeCell ref="B123:X123"/>
    <mergeCell ref="Y125:Y126"/>
    <mergeCell ref="Y111:Y112"/>
    <mergeCell ref="Y116:Y118"/>
    <mergeCell ref="Y64:Y65"/>
    <mergeCell ref="Y69:Y71"/>
    <mergeCell ref="Y130:Y132"/>
    <mergeCell ref="B87:X87"/>
    <mergeCell ref="B4:X4"/>
    <mergeCell ref="Y11:Y12"/>
    <mergeCell ref="Y18:Y20"/>
    <mergeCell ref="Y24:Y25"/>
    <mergeCell ref="B9:X9"/>
    <mergeCell ref="B51:X51"/>
    <mergeCell ref="Y94:Y96"/>
    <mergeCell ref="Y31:Y33"/>
    <mergeCell ref="Y37:Y38"/>
    <mergeCell ref="Y44:Y46"/>
    <mergeCell ref="Y53:Y54"/>
    <mergeCell ref="Y89:Y90"/>
    <mergeCell ref="Y100:Y101"/>
    <mergeCell ref="Y105:Y107"/>
  </mergeCells>
  <phoneticPr fontId="2" type="noConversion"/>
  <printOptions horizontalCentered="1"/>
  <pageMargins left="0.19685039370078741" right="0.19685039370078741" top="0.39370078740157483" bottom="0.39370078740157483" header="0" footer="0"/>
  <pageSetup paperSize="9" scale="67" fitToHeight="4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1" r:id="rId3" name="Button 9">
              <controlPr defaultSize="0" print="0" autoFill="0" autoPict="0" macro="[0]!Startseite">
                <anchor moveWithCells="1">
                  <from>
                    <xdr:col>2</xdr:col>
                    <xdr:colOff>1282700</xdr:colOff>
                    <xdr:row>1</xdr:row>
                    <xdr:rowOff>25400</xdr:rowOff>
                  </from>
                  <to>
                    <xdr:col>6</xdr:col>
                    <xdr:colOff>25400</xdr:colOff>
                    <xdr:row>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202" r:id="rId4" name="Button 10">
              <controlPr defaultSize="0" print="0" autoFill="0" autoPict="0" macro="[0]!Futterberechnung">
                <anchor moveWithCells="1">
                  <from>
                    <xdr:col>8</xdr:col>
                    <xdr:colOff>469900</xdr:colOff>
                    <xdr:row>1</xdr:row>
                    <xdr:rowOff>12700</xdr:rowOff>
                  </from>
                  <to>
                    <xdr:col>12</xdr:col>
                    <xdr:colOff>114300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203" r:id="rId5" name="Button 11">
              <controlPr defaultSize="0" print="0" autoFill="0" autoPict="0" macro="[0]!FuMi_Liste">
                <anchor moveWithCells="1">
                  <from>
                    <xdr:col>15</xdr:col>
                    <xdr:colOff>215900</xdr:colOff>
                    <xdr:row>1</xdr:row>
                    <xdr:rowOff>0</xdr:rowOff>
                  </from>
                  <to>
                    <xdr:col>18</xdr:col>
                    <xdr:colOff>381000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 enableFormatConditionsCalculation="0">
    <tabColor indexed="47"/>
    <pageSetUpPr fitToPage="1"/>
  </sheetPr>
  <dimension ref="B1:AA50"/>
  <sheetViews>
    <sheetView showGridLines="0" showRowColHeaders="0" topLeftCell="A4" zoomScale="115" zoomScaleNormal="115" zoomScalePageLayoutView="115" workbookViewId="0">
      <selection activeCell="K6" sqref="K6"/>
    </sheetView>
  </sheetViews>
  <sheetFormatPr baseColWidth="10" defaultRowHeight="12" x14ac:dyDescent="0"/>
  <cols>
    <col min="1" max="1" width="1.83203125" style="385" customWidth="1"/>
    <col min="2" max="2" width="13.83203125" style="385" customWidth="1"/>
    <col min="3" max="3" width="13.83203125" style="394" customWidth="1"/>
    <col min="4" max="4" width="13.83203125" style="385" customWidth="1"/>
    <col min="5" max="5" width="13.83203125" style="394" customWidth="1"/>
    <col min="6" max="6" width="13.83203125" style="385" customWidth="1"/>
    <col min="7" max="7" width="14" style="394" customWidth="1"/>
    <col min="8" max="8" width="13.83203125" style="385" customWidth="1"/>
    <col min="9" max="9" width="13.83203125" style="394" customWidth="1"/>
    <col min="10" max="11" width="13.83203125" style="385" customWidth="1"/>
    <col min="12" max="16384" width="10.83203125" style="385"/>
  </cols>
  <sheetData>
    <row r="1" spans="2:27" s="99" customFormat="1" ht="5.25" customHeight="1"/>
    <row r="2" spans="2:27" s="99" customFormat="1" ht="24" customHeight="1"/>
    <row r="3" spans="2:27" s="99" customFormat="1" ht="3.75" customHeight="1">
      <c r="Y3" s="14"/>
      <c r="Z3" s="14"/>
      <c r="AA3" s="14"/>
    </row>
    <row r="4" spans="2:27" ht="64.5" customHeight="1" thickBot="1">
      <c r="B4" s="1809" t="s">
        <v>328</v>
      </c>
      <c r="C4" s="1810"/>
      <c r="D4" s="1810"/>
      <c r="E4" s="1810"/>
      <c r="F4" s="1810"/>
      <c r="G4" s="1810"/>
      <c r="H4" s="1810"/>
      <c r="I4" s="1810"/>
      <c r="J4" s="1811"/>
      <c r="K4" s="1811"/>
    </row>
    <row r="5" spans="2:27" ht="65" customHeight="1" thickBot="1">
      <c r="B5" s="1818"/>
      <c r="C5" s="1819"/>
      <c r="D5" s="386"/>
      <c r="E5" s="386"/>
      <c r="F5" s="386"/>
      <c r="G5" s="386"/>
      <c r="H5" s="387" t="s">
        <v>324</v>
      </c>
      <c r="I5" s="388">
        <f>I6*0.2</f>
        <v>2.4000000000000004</v>
      </c>
      <c r="J5" s="387" t="s">
        <v>326</v>
      </c>
      <c r="K5" s="212">
        <v>10</v>
      </c>
    </row>
    <row r="6" spans="2:27" ht="65" customHeight="1" thickBot="1">
      <c r="B6" s="387" t="s">
        <v>444</v>
      </c>
      <c r="C6" s="213">
        <v>19</v>
      </c>
      <c r="D6" s="387" t="s">
        <v>445</v>
      </c>
      <c r="E6" s="213">
        <v>19</v>
      </c>
      <c r="F6" s="387" t="s">
        <v>448</v>
      </c>
      <c r="G6" s="213">
        <v>14</v>
      </c>
      <c r="H6" s="387" t="s">
        <v>306</v>
      </c>
      <c r="I6" s="172">
        <v>12</v>
      </c>
      <c r="J6" s="387" t="s">
        <v>673</v>
      </c>
      <c r="K6" s="212">
        <v>140</v>
      </c>
    </row>
    <row r="7" spans="2:27" s="389" customFormat="1" ht="65" customHeight="1" thickBot="1">
      <c r="B7" s="387" t="s">
        <v>447</v>
      </c>
      <c r="C7" s="214">
        <v>12</v>
      </c>
      <c r="D7" s="387" t="s">
        <v>446</v>
      </c>
      <c r="E7" s="214">
        <v>12</v>
      </c>
      <c r="F7" s="387" t="s">
        <v>318</v>
      </c>
      <c r="G7" s="214">
        <v>13</v>
      </c>
      <c r="H7" s="387" t="s">
        <v>305</v>
      </c>
      <c r="I7" s="171">
        <v>13</v>
      </c>
      <c r="J7" s="387" t="s">
        <v>672</v>
      </c>
      <c r="K7" s="212">
        <v>225</v>
      </c>
    </row>
    <row r="8" spans="2:27" s="389" customFormat="1" ht="65" customHeight="1" thickBot="1">
      <c r="B8" s="589" t="s">
        <v>513</v>
      </c>
      <c r="C8" s="585">
        <f>((SUM(D!C2:C115,D!C144:C148)+SUM(D!E2:E115,D!E144:E148)+SUM(D!G2:G115,D!G144:G148)+SUM(D!I2:I115,D!I144:I148)*2)/5+((SUM(D!C2:C28,D!C144:C148)+SUM(D!E2:E28,D!E144:E148)+SUM(D!G2:G28,D!G144:G148)+SUM(D!I2:I28,D!I144:I148)*2)/5)*'Futterkurve Sauen'!G10)*365/(115+5+E10)</f>
        <v>925.50260770975001</v>
      </c>
      <c r="D8" s="590" t="s">
        <v>514</v>
      </c>
      <c r="E8" s="585">
        <f>((SUM(D!C116:C133)+SUM(D!E116:E133)+SUM(D!G116:G133)+SUM(D!I116:I133)*2)/5+(D!C143+D!E143+D!G143+D!I143*2)/5*('Futterkurve Sauen'!E10-18))*C10</f>
        <v>359.05786373484671</v>
      </c>
      <c r="F8" s="590" t="s">
        <v>515</v>
      </c>
      <c r="G8" s="585">
        <f>C8+E8</f>
        <v>1284.5604714445967</v>
      </c>
      <c r="H8" s="591" t="s">
        <v>324</v>
      </c>
      <c r="I8" s="388">
        <f>I7*0.2</f>
        <v>2.6</v>
      </c>
      <c r="J8" s="387" t="s">
        <v>325</v>
      </c>
      <c r="K8" s="212">
        <v>15</v>
      </c>
    </row>
    <row r="9" spans="2:27" ht="14.25" customHeight="1" thickBot="1">
      <c r="B9" s="594" t="s">
        <v>516</v>
      </c>
      <c r="C9" s="592">
        <f>C8/G8</f>
        <v>0.72048193003241345</v>
      </c>
      <c r="D9" s="593" t="s">
        <v>516</v>
      </c>
      <c r="E9" s="592">
        <f>E8/G8</f>
        <v>0.27951806996758649</v>
      </c>
      <c r="F9" s="593" t="s">
        <v>516</v>
      </c>
      <c r="G9" s="592">
        <v>1</v>
      </c>
      <c r="I9" s="385"/>
      <c r="J9" s="390"/>
      <c r="M9" s="391"/>
    </row>
    <row r="10" spans="2:27" ht="30" customHeight="1" thickBot="1">
      <c r="B10" s="578" t="s">
        <v>519</v>
      </c>
      <c r="C10" s="586">
        <f>365/(120+E10+G10*E10)</f>
        <v>2.4382097528390116</v>
      </c>
      <c r="D10" s="579" t="s">
        <v>518</v>
      </c>
      <c r="E10" s="587">
        <v>27</v>
      </c>
      <c r="F10" s="579" t="s">
        <v>517</v>
      </c>
      <c r="G10" s="588">
        <v>0.1</v>
      </c>
      <c r="H10" s="392"/>
      <c r="I10" s="393"/>
      <c r="J10" s="392"/>
      <c r="K10" s="392"/>
      <c r="M10" s="391"/>
    </row>
    <row r="11" spans="2:27" ht="30" customHeight="1">
      <c r="B11" s="580"/>
      <c r="C11" s="581"/>
      <c r="D11" s="582"/>
      <c r="E11" s="583"/>
      <c r="F11" s="582"/>
      <c r="G11" s="584"/>
      <c r="H11" s="392"/>
      <c r="I11" s="393"/>
      <c r="J11" s="392"/>
      <c r="K11" s="392"/>
      <c r="M11" s="391"/>
    </row>
    <row r="12" spans="2:27" ht="250" customHeight="1">
      <c r="B12" s="392"/>
      <c r="C12" s="393"/>
      <c r="D12" s="392"/>
      <c r="E12" s="393"/>
      <c r="F12" s="392"/>
      <c r="G12" s="393"/>
      <c r="H12" s="392"/>
      <c r="I12" s="393"/>
      <c r="J12" s="392"/>
      <c r="K12" s="392"/>
      <c r="L12" s="392"/>
      <c r="M12" s="391"/>
    </row>
    <row r="13" spans="2:27" ht="14.25" customHeight="1">
      <c r="B13" s="392"/>
      <c r="C13" s="393"/>
      <c r="D13" s="392"/>
      <c r="E13" s="393"/>
      <c r="F13" s="392"/>
      <c r="G13" s="393"/>
      <c r="H13" s="392"/>
      <c r="I13" s="393"/>
      <c r="J13" s="392"/>
      <c r="K13" s="392"/>
      <c r="M13" s="391"/>
    </row>
    <row r="15" spans="2:27" s="397" customFormat="1" ht="36">
      <c r="B15" s="395" t="s">
        <v>310</v>
      </c>
      <c r="C15" s="395" t="s">
        <v>304</v>
      </c>
      <c r="D15" s="396" t="s">
        <v>775</v>
      </c>
      <c r="E15" s="395" t="s">
        <v>774</v>
      </c>
      <c r="F15" s="396" t="s">
        <v>776</v>
      </c>
      <c r="G15" s="395" t="s">
        <v>777</v>
      </c>
      <c r="H15" s="396" t="s">
        <v>778</v>
      </c>
      <c r="I15" s="395" t="s">
        <v>779</v>
      </c>
      <c r="J15" s="396" t="s">
        <v>780</v>
      </c>
      <c r="K15" s="395" t="s">
        <v>781</v>
      </c>
    </row>
    <row r="16" spans="2:27" s="403" customFormat="1">
      <c r="B16" s="1812" t="s">
        <v>329</v>
      </c>
      <c r="C16" s="1058">
        <v>1</v>
      </c>
      <c r="D16" s="399">
        <f>D!B2</f>
        <v>29</v>
      </c>
      <c r="E16" s="400">
        <f>D!C2</f>
        <v>2.4166666666666665</v>
      </c>
      <c r="F16" s="401">
        <f>D!D2</f>
        <v>32</v>
      </c>
      <c r="G16" s="402">
        <f>D!E2</f>
        <v>2.6666666666666665</v>
      </c>
      <c r="H16" s="401">
        <f>D!F2</f>
        <v>33</v>
      </c>
      <c r="I16" s="402">
        <f>D!G2</f>
        <v>2.75</v>
      </c>
      <c r="J16" s="401">
        <f>D!H2</f>
        <v>31</v>
      </c>
      <c r="K16" s="402">
        <f>D!I2</f>
        <v>2.5833333333333335</v>
      </c>
    </row>
    <row r="17" spans="2:11" s="403" customFormat="1">
      <c r="B17" s="1813"/>
      <c r="C17" s="1059">
        <f>D!A29</f>
        <v>28</v>
      </c>
      <c r="D17" s="404">
        <f>D!B29</f>
        <v>29</v>
      </c>
      <c r="E17" s="405">
        <f>D!C29</f>
        <v>2.4166666666666665</v>
      </c>
      <c r="F17" s="406">
        <f>D!D29</f>
        <v>32</v>
      </c>
      <c r="G17" s="407">
        <f>D!E29</f>
        <v>2.6666666666666665</v>
      </c>
      <c r="H17" s="406">
        <f>D!F29</f>
        <v>33</v>
      </c>
      <c r="I17" s="407">
        <f>D!G29</f>
        <v>2.75</v>
      </c>
      <c r="J17" s="406">
        <f>D!H29</f>
        <v>31</v>
      </c>
      <c r="K17" s="407">
        <f>D!I29</f>
        <v>2.5833333333333335</v>
      </c>
    </row>
    <row r="18" spans="2:11" s="403" customFormat="1">
      <c r="B18" s="1813"/>
      <c r="C18" s="1060">
        <f>D!A30</f>
        <v>29</v>
      </c>
      <c r="D18" s="408">
        <f>D!B30</f>
        <v>33</v>
      </c>
      <c r="E18" s="409">
        <f>D!C30</f>
        <v>2.75</v>
      </c>
      <c r="F18" s="410">
        <f>D!D30</f>
        <v>38</v>
      </c>
      <c r="G18" s="411">
        <f>D!E30</f>
        <v>3.1666666666666665</v>
      </c>
      <c r="H18" s="410">
        <f>D!F30</f>
        <v>39</v>
      </c>
      <c r="I18" s="411">
        <f>D!G30</f>
        <v>3.25</v>
      </c>
      <c r="J18" s="410">
        <f>D!H30</f>
        <v>37</v>
      </c>
      <c r="K18" s="411">
        <f>D!I30</f>
        <v>3.0833333333333335</v>
      </c>
    </row>
    <row r="19" spans="2:11" s="403" customFormat="1">
      <c r="B19" s="1814"/>
      <c r="C19" s="1061">
        <v>70</v>
      </c>
      <c r="D19" s="412">
        <f>D!B66</f>
        <v>33</v>
      </c>
      <c r="E19" s="413">
        <f>D!C66</f>
        <v>2.75</v>
      </c>
      <c r="F19" s="414">
        <f>D!D66</f>
        <v>38</v>
      </c>
      <c r="G19" s="415">
        <f>D!E66</f>
        <v>3.1666666666666665</v>
      </c>
      <c r="H19" s="414">
        <f>D!F66</f>
        <v>39</v>
      </c>
      <c r="I19" s="415">
        <f>D!G66</f>
        <v>3.25</v>
      </c>
      <c r="J19" s="414">
        <f>D!H66</f>
        <v>37</v>
      </c>
      <c r="K19" s="415">
        <f>D!I66</f>
        <v>3.0833333333333335</v>
      </c>
    </row>
    <row r="20" spans="2:11" s="419" customFormat="1" ht="25.5" customHeight="1">
      <c r="B20" s="398" t="s">
        <v>320</v>
      </c>
      <c r="C20" s="1062">
        <f>D!A72</f>
        <v>71</v>
      </c>
      <c r="D20" s="416">
        <f>D!B72</f>
        <v>37</v>
      </c>
      <c r="E20" s="417">
        <f>D!C72</f>
        <v>3.0833333333333335</v>
      </c>
      <c r="F20" s="418">
        <f>D!D72</f>
        <v>42</v>
      </c>
      <c r="G20" s="417">
        <f>D!E72</f>
        <v>3.5</v>
      </c>
      <c r="H20" s="418">
        <f>D!F72</f>
        <v>43</v>
      </c>
      <c r="I20" s="417">
        <f>D!G72</f>
        <v>3.5833333333333335</v>
      </c>
      <c r="J20" s="418">
        <f>D!H72</f>
        <v>40</v>
      </c>
      <c r="K20" s="417">
        <f>D!I72</f>
        <v>3.3333333333333335</v>
      </c>
    </row>
    <row r="21" spans="2:11" s="403" customFormat="1">
      <c r="B21" s="1815" t="s">
        <v>327</v>
      </c>
      <c r="C21" s="1063">
        <v>86</v>
      </c>
      <c r="D21" s="420">
        <f>D!B87</f>
        <v>39</v>
      </c>
      <c r="E21" s="421">
        <f>D!C87</f>
        <v>3.25</v>
      </c>
      <c r="F21" s="422">
        <f>D!D87</f>
        <v>42</v>
      </c>
      <c r="G21" s="421">
        <f>D!E87</f>
        <v>3.5</v>
      </c>
      <c r="H21" s="422">
        <f>D!F87</f>
        <v>43</v>
      </c>
      <c r="I21" s="421">
        <f>D!G87</f>
        <v>3.5833333333333335</v>
      </c>
      <c r="J21" s="422">
        <f>D!H87</f>
        <v>40</v>
      </c>
      <c r="K21" s="421">
        <f>D!I87</f>
        <v>3.3333333333333335</v>
      </c>
    </row>
    <row r="22" spans="2:11" s="403" customFormat="1">
      <c r="B22" s="1816"/>
      <c r="C22" s="1064">
        <f>D!A109</f>
        <v>108</v>
      </c>
      <c r="D22" s="423">
        <f>D!B109</f>
        <v>39</v>
      </c>
      <c r="E22" s="424">
        <f>D!C109</f>
        <v>3.25</v>
      </c>
      <c r="F22" s="423">
        <f>D!D109</f>
        <v>42</v>
      </c>
      <c r="G22" s="424">
        <f>D!E109</f>
        <v>3.5</v>
      </c>
      <c r="H22" s="423">
        <f>D!F109</f>
        <v>43</v>
      </c>
      <c r="I22" s="424">
        <f>D!G109</f>
        <v>3.5833333333333335</v>
      </c>
      <c r="J22" s="423">
        <f>D!H109</f>
        <v>39</v>
      </c>
      <c r="K22" s="424">
        <f>D!I109</f>
        <v>3.25</v>
      </c>
    </row>
    <row r="23" spans="2:11">
      <c r="B23" s="1820"/>
      <c r="C23" s="1065">
        <v>109</v>
      </c>
      <c r="D23" s="425">
        <f>D!B110</f>
        <v>39</v>
      </c>
      <c r="E23" s="426">
        <f>D!C110</f>
        <v>3.25</v>
      </c>
      <c r="F23" s="427">
        <f>D!D110</f>
        <v>42</v>
      </c>
      <c r="G23" s="426">
        <f>D!E110</f>
        <v>3.5</v>
      </c>
      <c r="H23" s="427">
        <f>D!F110</f>
        <v>43</v>
      </c>
      <c r="I23" s="426">
        <f>D!G110</f>
        <v>3.5833333333333335</v>
      </c>
      <c r="J23" s="428">
        <f>D!H110</f>
        <v>39</v>
      </c>
      <c r="K23" s="429">
        <f>D!I110</f>
        <v>3.25</v>
      </c>
    </row>
    <row r="24" spans="2:11">
      <c r="B24" s="1812" t="s">
        <v>311</v>
      </c>
      <c r="C24" s="1066">
        <v>110</v>
      </c>
      <c r="D24" s="430">
        <f>D!B111</f>
        <v>36</v>
      </c>
      <c r="E24" s="431">
        <f>D!C111</f>
        <v>3</v>
      </c>
      <c r="F24" s="432">
        <f>D!D111</f>
        <v>39</v>
      </c>
      <c r="G24" s="431">
        <f>D!E111</f>
        <v>3.25</v>
      </c>
      <c r="H24" s="432">
        <f>D!F111</f>
        <v>40</v>
      </c>
      <c r="I24" s="431">
        <f>D!G111</f>
        <v>3.3333333333333335</v>
      </c>
      <c r="J24" s="427">
        <f>D!H111</f>
        <v>39</v>
      </c>
      <c r="K24" s="426">
        <f>D!I111</f>
        <v>3.25</v>
      </c>
    </row>
    <row r="25" spans="2:11">
      <c r="B25" s="1821"/>
      <c r="C25" s="1067">
        <v>111</v>
      </c>
      <c r="D25" s="433">
        <f>D!B112</f>
        <v>33</v>
      </c>
      <c r="E25" s="434">
        <f>D!C112</f>
        <v>2.75</v>
      </c>
      <c r="F25" s="435">
        <f>D!D112</f>
        <v>36</v>
      </c>
      <c r="G25" s="434">
        <f>D!E112</f>
        <v>3</v>
      </c>
      <c r="H25" s="435">
        <f>D!F112</f>
        <v>37</v>
      </c>
      <c r="I25" s="434">
        <f>D!G112</f>
        <v>3.0833333333333335</v>
      </c>
      <c r="J25" s="432">
        <f>D!H112</f>
        <v>36</v>
      </c>
      <c r="K25" s="431">
        <f>D!I112</f>
        <v>3</v>
      </c>
    </row>
    <row r="26" spans="2:11">
      <c r="B26" s="1821"/>
      <c r="C26" s="1067">
        <v>112</v>
      </c>
      <c r="D26" s="433">
        <f>D!B113</f>
        <v>31</v>
      </c>
      <c r="E26" s="434">
        <f>D!C113</f>
        <v>2.5833333333333335</v>
      </c>
      <c r="F26" s="435">
        <f>D!D113</f>
        <v>33</v>
      </c>
      <c r="G26" s="434">
        <f>D!E113</f>
        <v>2.75</v>
      </c>
      <c r="H26" s="435">
        <f>D!F113</f>
        <v>34</v>
      </c>
      <c r="I26" s="434">
        <f>D!G113</f>
        <v>2.8333333333333335</v>
      </c>
      <c r="J26" s="435">
        <f>D!H113</f>
        <v>33</v>
      </c>
      <c r="K26" s="434">
        <f>D!I113</f>
        <v>2.75</v>
      </c>
    </row>
    <row r="27" spans="2:11">
      <c r="B27" s="1821"/>
      <c r="C27" s="1067">
        <v>113</v>
      </c>
      <c r="D27" s="433">
        <f>D!B114</f>
        <v>29</v>
      </c>
      <c r="E27" s="434">
        <f>D!C114</f>
        <v>2.4166666666666665</v>
      </c>
      <c r="F27" s="435">
        <f>D!D114</f>
        <v>30</v>
      </c>
      <c r="G27" s="434">
        <f>D!E114</f>
        <v>2.5</v>
      </c>
      <c r="H27" s="435">
        <f>D!F114</f>
        <v>30</v>
      </c>
      <c r="I27" s="434">
        <f>D!G114</f>
        <v>2.5</v>
      </c>
      <c r="J27" s="435">
        <f>D!H114</f>
        <v>30</v>
      </c>
      <c r="K27" s="434">
        <f>D!I114</f>
        <v>2.5</v>
      </c>
    </row>
    <row r="28" spans="2:11">
      <c r="B28" s="1822"/>
      <c r="C28" s="1068">
        <v>114</v>
      </c>
      <c r="D28" s="436">
        <f>D!B115</f>
        <v>26</v>
      </c>
      <c r="E28" s="437">
        <f>D!C115</f>
        <v>2.1666666666666665</v>
      </c>
      <c r="F28" s="438">
        <f>D!D115</f>
        <v>26</v>
      </c>
      <c r="G28" s="439">
        <f>D!E115</f>
        <v>2.1666666666666665</v>
      </c>
      <c r="H28" s="438">
        <f>D!F115</f>
        <v>26</v>
      </c>
      <c r="I28" s="439">
        <f>D!G115</f>
        <v>2.1666666666666665</v>
      </c>
      <c r="J28" s="438">
        <f>D!H115</f>
        <v>26</v>
      </c>
      <c r="K28" s="439">
        <f>D!I115</f>
        <v>2.1666666666666665</v>
      </c>
    </row>
    <row r="29" spans="2:11" s="403" customFormat="1">
      <c r="B29" s="440" t="s">
        <v>307</v>
      </c>
      <c r="C29" s="1069">
        <v>115</v>
      </c>
      <c r="D29" s="441">
        <f>D!B116</f>
        <v>26</v>
      </c>
      <c r="E29" s="442">
        <f>D!C116</f>
        <v>2</v>
      </c>
      <c r="F29" s="443">
        <f>D!D116</f>
        <v>26</v>
      </c>
      <c r="G29" s="442">
        <f>D!E116</f>
        <v>2</v>
      </c>
      <c r="H29" s="443">
        <f>D!F116</f>
        <v>26</v>
      </c>
      <c r="I29" s="442">
        <f>D!G116</f>
        <v>2</v>
      </c>
      <c r="J29" s="443">
        <f>D!H116</f>
        <v>26</v>
      </c>
      <c r="K29" s="442">
        <f>D!I116</f>
        <v>2</v>
      </c>
    </row>
    <row r="30" spans="2:11">
      <c r="B30" s="1815" t="s">
        <v>321</v>
      </c>
      <c r="C30" s="1070">
        <f>D!A117</f>
        <v>116</v>
      </c>
      <c r="D30" s="445">
        <f>D!B117</f>
        <v>31.2</v>
      </c>
      <c r="E30" s="446">
        <f>D!C117</f>
        <v>2.4</v>
      </c>
      <c r="F30" s="444">
        <f>D!D117</f>
        <v>32.5</v>
      </c>
      <c r="G30" s="446">
        <f>D!E117</f>
        <v>2.5</v>
      </c>
      <c r="H30" s="444">
        <f>D!F117</f>
        <v>32.5</v>
      </c>
      <c r="I30" s="446">
        <f>D!G117</f>
        <v>2.5</v>
      </c>
      <c r="J30" s="444">
        <f>D!H117</f>
        <v>32.5</v>
      </c>
      <c r="K30" s="446">
        <f>D!I117</f>
        <v>2.5</v>
      </c>
    </row>
    <row r="31" spans="2:11">
      <c r="B31" s="1816"/>
      <c r="C31" s="1070">
        <f>D!A118</f>
        <v>117</v>
      </c>
      <c r="D31" s="445">
        <f>D!B118</f>
        <v>36.4</v>
      </c>
      <c r="E31" s="446">
        <f>D!C118</f>
        <v>2.8</v>
      </c>
      <c r="F31" s="444">
        <f>D!D118</f>
        <v>39</v>
      </c>
      <c r="G31" s="446">
        <f>D!E118</f>
        <v>3</v>
      </c>
      <c r="H31" s="444">
        <f>D!F118</f>
        <v>39</v>
      </c>
      <c r="I31" s="446">
        <f>D!G118</f>
        <v>3</v>
      </c>
      <c r="J31" s="444">
        <f>D!H118</f>
        <v>39</v>
      </c>
      <c r="K31" s="446">
        <f>D!I118</f>
        <v>3</v>
      </c>
    </row>
    <row r="32" spans="2:11">
      <c r="B32" s="1816"/>
      <c r="C32" s="1070">
        <f>D!A119</f>
        <v>118</v>
      </c>
      <c r="D32" s="445">
        <f>D!B119</f>
        <v>41.599999999999994</v>
      </c>
      <c r="E32" s="446">
        <f>D!C119</f>
        <v>3.1999999999999997</v>
      </c>
      <c r="F32" s="444">
        <f>D!D119</f>
        <v>45.5</v>
      </c>
      <c r="G32" s="446">
        <f>D!E119</f>
        <v>3.5</v>
      </c>
      <c r="H32" s="444">
        <f>D!F119</f>
        <v>45.5</v>
      </c>
      <c r="I32" s="446">
        <f>D!G119</f>
        <v>3.5</v>
      </c>
      <c r="J32" s="444">
        <f>D!H119</f>
        <v>45.5</v>
      </c>
      <c r="K32" s="446">
        <f>D!I119</f>
        <v>3.5</v>
      </c>
    </row>
    <row r="33" spans="2:11">
      <c r="B33" s="1816"/>
      <c r="C33" s="1070">
        <f>D!A120</f>
        <v>119</v>
      </c>
      <c r="D33" s="445">
        <f>D!B120</f>
        <v>41.599999999999994</v>
      </c>
      <c r="E33" s="446">
        <f>D!C120</f>
        <v>3.1999999999999997</v>
      </c>
      <c r="F33" s="444">
        <f>D!D120</f>
        <v>45.5</v>
      </c>
      <c r="G33" s="446">
        <f>D!E120</f>
        <v>3.5</v>
      </c>
      <c r="H33" s="444">
        <f>D!F120</f>
        <v>45.5</v>
      </c>
      <c r="I33" s="446">
        <f>D!G120</f>
        <v>3.5</v>
      </c>
      <c r="J33" s="444">
        <f>D!H120</f>
        <v>45.5</v>
      </c>
      <c r="K33" s="446">
        <f>D!I120</f>
        <v>3.5</v>
      </c>
    </row>
    <row r="34" spans="2:11">
      <c r="B34" s="1816"/>
      <c r="C34" s="1070">
        <f>D!A121</f>
        <v>120</v>
      </c>
      <c r="D34" s="445">
        <f>D!B121</f>
        <v>46.8</v>
      </c>
      <c r="E34" s="446">
        <f>D!C121</f>
        <v>3.5999999999999996</v>
      </c>
      <c r="F34" s="444">
        <f>D!D121</f>
        <v>52</v>
      </c>
      <c r="G34" s="446">
        <f>D!E121</f>
        <v>4</v>
      </c>
      <c r="H34" s="444">
        <f>D!F121</f>
        <v>52</v>
      </c>
      <c r="I34" s="446">
        <f>D!G121</f>
        <v>4</v>
      </c>
      <c r="J34" s="444">
        <f>D!H121</f>
        <v>52</v>
      </c>
      <c r="K34" s="446">
        <f>D!I121</f>
        <v>4</v>
      </c>
    </row>
    <row r="35" spans="2:11">
      <c r="B35" s="1816"/>
      <c r="C35" s="1070">
        <f>D!A122</f>
        <v>121</v>
      </c>
      <c r="D35" s="445">
        <f>D!B122</f>
        <v>51.999999999999993</v>
      </c>
      <c r="E35" s="446">
        <f>D!C122</f>
        <v>3.9999999999999996</v>
      </c>
      <c r="F35" s="444">
        <f>D!D122</f>
        <v>58.5</v>
      </c>
      <c r="G35" s="446">
        <f>D!E122</f>
        <v>4.5</v>
      </c>
      <c r="H35" s="444">
        <f>D!F122</f>
        <v>58.5</v>
      </c>
      <c r="I35" s="446">
        <f>D!G122</f>
        <v>4.5</v>
      </c>
      <c r="J35" s="444">
        <f>D!H122</f>
        <v>58.5</v>
      </c>
      <c r="K35" s="446">
        <f>D!I122</f>
        <v>4.5</v>
      </c>
    </row>
    <row r="36" spans="2:11">
      <c r="B36" s="1816"/>
      <c r="C36" s="1070">
        <f>D!A123</f>
        <v>122</v>
      </c>
      <c r="D36" s="445">
        <f>D!B123</f>
        <v>57.199999999999996</v>
      </c>
      <c r="E36" s="446">
        <f>D!C123</f>
        <v>4.3999999999999995</v>
      </c>
      <c r="F36" s="444">
        <f>D!D123</f>
        <v>65</v>
      </c>
      <c r="G36" s="446">
        <f>D!E123</f>
        <v>5</v>
      </c>
      <c r="H36" s="444">
        <f>D!F123</f>
        <v>65</v>
      </c>
      <c r="I36" s="446">
        <f>D!G123</f>
        <v>5</v>
      </c>
      <c r="J36" s="444">
        <f>D!H123</f>
        <v>65</v>
      </c>
      <c r="K36" s="446">
        <f>D!I123</f>
        <v>5</v>
      </c>
    </row>
    <row r="37" spans="2:11">
      <c r="B37" s="1816"/>
      <c r="C37" s="1070">
        <f>D!A124</f>
        <v>123</v>
      </c>
      <c r="D37" s="445">
        <f>D!B124</f>
        <v>57.199999999999996</v>
      </c>
      <c r="E37" s="446">
        <f>D!C124</f>
        <v>4.3999999999999995</v>
      </c>
      <c r="F37" s="444">
        <f>D!D124</f>
        <v>65</v>
      </c>
      <c r="G37" s="446">
        <f>D!E124</f>
        <v>5</v>
      </c>
      <c r="H37" s="444">
        <f>D!F124</f>
        <v>65</v>
      </c>
      <c r="I37" s="446">
        <f>D!G124</f>
        <v>5</v>
      </c>
      <c r="J37" s="444">
        <f>D!H124</f>
        <v>65</v>
      </c>
      <c r="K37" s="446">
        <f>D!I124</f>
        <v>5</v>
      </c>
    </row>
    <row r="38" spans="2:11">
      <c r="B38" s="1816"/>
      <c r="C38" s="1070">
        <f>D!A125</f>
        <v>124</v>
      </c>
      <c r="D38" s="445">
        <f>D!B125</f>
        <v>62.4</v>
      </c>
      <c r="E38" s="446">
        <f>D!C125</f>
        <v>4.8</v>
      </c>
      <c r="F38" s="444">
        <f>D!D125</f>
        <v>71.5</v>
      </c>
      <c r="G38" s="446">
        <f>D!E125</f>
        <v>5.5</v>
      </c>
      <c r="H38" s="444">
        <f>D!F125</f>
        <v>71.5</v>
      </c>
      <c r="I38" s="446">
        <f>D!G125</f>
        <v>5.5</v>
      </c>
      <c r="J38" s="444">
        <f>D!H125</f>
        <v>71.5</v>
      </c>
      <c r="K38" s="446">
        <f>D!I125</f>
        <v>5.5</v>
      </c>
    </row>
    <row r="39" spans="2:11">
      <c r="B39" s="1816"/>
      <c r="C39" s="1070">
        <f>D!A126</f>
        <v>125</v>
      </c>
      <c r="D39" s="445">
        <f>D!B126</f>
        <v>67.600000000000009</v>
      </c>
      <c r="E39" s="446">
        <f>D!C126</f>
        <v>5.2</v>
      </c>
      <c r="F39" s="444">
        <f>D!D126</f>
        <v>78</v>
      </c>
      <c r="G39" s="446">
        <f>D!E126</f>
        <v>6</v>
      </c>
      <c r="H39" s="444">
        <f>D!F126</f>
        <v>78</v>
      </c>
      <c r="I39" s="446">
        <f>D!G126</f>
        <v>6</v>
      </c>
      <c r="J39" s="444">
        <f>D!H126</f>
        <v>78</v>
      </c>
      <c r="K39" s="446">
        <f>D!I126</f>
        <v>6</v>
      </c>
    </row>
    <row r="40" spans="2:11">
      <c r="B40" s="1816"/>
      <c r="C40" s="1070">
        <f>D!A127</f>
        <v>126</v>
      </c>
      <c r="D40" s="445">
        <f>D!B127</f>
        <v>72.800000000000011</v>
      </c>
      <c r="E40" s="446">
        <f>D!C127</f>
        <v>5.6000000000000005</v>
      </c>
      <c r="F40" s="444">
        <f>D!D127</f>
        <v>82.471480868778784</v>
      </c>
      <c r="G40" s="446">
        <f>D!E127</f>
        <v>6.3439600668291369</v>
      </c>
      <c r="H40" s="444">
        <f>D!F127</f>
        <v>84.5</v>
      </c>
      <c r="I40" s="446">
        <f>D!G127</f>
        <v>6.5</v>
      </c>
      <c r="J40" s="444">
        <f>D!H127</f>
        <v>84.5</v>
      </c>
      <c r="K40" s="446">
        <f>D!I127</f>
        <v>6.5</v>
      </c>
    </row>
    <row r="41" spans="2:11">
      <c r="B41" s="1816"/>
      <c r="C41" s="1070">
        <f>D!A128</f>
        <v>127</v>
      </c>
      <c r="D41" s="445">
        <f>D!B128</f>
        <v>72.800000000000011</v>
      </c>
      <c r="E41" s="446">
        <f>D!C128</f>
        <v>5.6000000000000005</v>
      </c>
      <c r="F41" s="444">
        <f>D!D128</f>
        <v>82.471480868778784</v>
      </c>
      <c r="G41" s="446">
        <f>D!E128</f>
        <v>6.3439600668291369</v>
      </c>
      <c r="H41" s="444">
        <f>D!F128</f>
        <v>84.5</v>
      </c>
      <c r="I41" s="446">
        <f>D!G128</f>
        <v>6.5</v>
      </c>
      <c r="J41" s="444">
        <f>D!H128</f>
        <v>84.5</v>
      </c>
      <c r="K41" s="446">
        <f>D!I128</f>
        <v>6.5</v>
      </c>
    </row>
    <row r="42" spans="2:11">
      <c r="B42" s="1816"/>
      <c r="C42" s="1070">
        <f>D!A129</f>
        <v>128</v>
      </c>
      <c r="D42" s="445">
        <f>D!B129</f>
        <v>77.50806669862115</v>
      </c>
      <c r="E42" s="446">
        <f>D!C129</f>
        <v>5.9621589768170118</v>
      </c>
      <c r="F42" s="444">
        <f>D!D129</f>
        <v>82.471480868778784</v>
      </c>
      <c r="G42" s="446">
        <f>D!E129</f>
        <v>6.3439600668291369</v>
      </c>
      <c r="H42" s="444">
        <f>D!F129</f>
        <v>85.961690084968936</v>
      </c>
      <c r="I42" s="446">
        <f>D!G129</f>
        <v>6.6124376988437641</v>
      </c>
      <c r="J42" s="444">
        <f>D!H129</f>
        <v>88.477459651087315</v>
      </c>
      <c r="K42" s="446">
        <f>D!I129</f>
        <v>6.8059584346990238</v>
      </c>
    </row>
    <row r="43" spans="2:11">
      <c r="B43" s="1816"/>
      <c r="C43" s="1070">
        <f>D!A130</f>
        <v>129</v>
      </c>
      <c r="D43" s="445">
        <f>D!B130</f>
        <v>77.50806669862115</v>
      </c>
      <c r="E43" s="446">
        <f>D!C130</f>
        <v>5.9621589768170118</v>
      </c>
      <c r="F43" s="444">
        <f>D!D130</f>
        <v>82.471480868778784</v>
      </c>
      <c r="G43" s="446">
        <f>D!E130</f>
        <v>6.3439600668291369</v>
      </c>
      <c r="H43" s="444">
        <f>D!F130</f>
        <v>85.961690084968936</v>
      </c>
      <c r="I43" s="446">
        <f>D!G130</f>
        <v>6.6124376988437641</v>
      </c>
      <c r="J43" s="444">
        <f>D!H130</f>
        <v>88.477459651087315</v>
      </c>
      <c r="K43" s="446">
        <f>D!I130</f>
        <v>6.8059584346990238</v>
      </c>
    </row>
    <row r="44" spans="2:11">
      <c r="B44" s="1816"/>
      <c r="C44" s="1070">
        <f>D!A131</f>
        <v>130</v>
      </c>
      <c r="D44" s="445">
        <f>D!B131</f>
        <v>77.50806669862115</v>
      </c>
      <c r="E44" s="446">
        <f>D!C131</f>
        <v>5.9621589768170118</v>
      </c>
      <c r="F44" s="444">
        <f>D!D131</f>
        <v>82.471480868778784</v>
      </c>
      <c r="G44" s="446">
        <f>D!E131</f>
        <v>6.3439600668291369</v>
      </c>
      <c r="H44" s="444">
        <f>D!F131</f>
        <v>85.961690084968936</v>
      </c>
      <c r="I44" s="446">
        <f>D!G131</f>
        <v>6.6124376988437641</v>
      </c>
      <c r="J44" s="444">
        <f>D!H131</f>
        <v>88.477459651087315</v>
      </c>
      <c r="K44" s="446">
        <f>D!I131</f>
        <v>6.8059584346990238</v>
      </c>
    </row>
    <row r="45" spans="2:11">
      <c r="B45" s="1816"/>
      <c r="C45" s="1070">
        <f>D!A132</f>
        <v>131</v>
      </c>
      <c r="D45" s="445">
        <f>D!B132</f>
        <v>77.50806669862115</v>
      </c>
      <c r="E45" s="446">
        <f>D!C132</f>
        <v>5.9621589768170118</v>
      </c>
      <c r="F45" s="444">
        <f>D!D132</f>
        <v>82.471480868778784</v>
      </c>
      <c r="G45" s="446">
        <f>D!E132</f>
        <v>6.3439600668291369</v>
      </c>
      <c r="H45" s="444">
        <f>D!F132</f>
        <v>85.961690084968936</v>
      </c>
      <c r="I45" s="446">
        <f>D!G132</f>
        <v>6.6124376988437641</v>
      </c>
      <c r="J45" s="444">
        <f>D!H132</f>
        <v>88.477459651087315</v>
      </c>
      <c r="K45" s="446">
        <f>D!I132</f>
        <v>6.8059584346990238</v>
      </c>
    </row>
    <row r="46" spans="2:11">
      <c r="B46" s="1816"/>
      <c r="C46" s="1070">
        <f>D!A133</f>
        <v>132</v>
      </c>
      <c r="D46" s="445">
        <f>D!B133</f>
        <v>77.50806669862115</v>
      </c>
      <c r="E46" s="446">
        <f>D!C133</f>
        <v>5.9621589768170118</v>
      </c>
      <c r="F46" s="444">
        <f>D!D133</f>
        <v>82.471480868778784</v>
      </c>
      <c r="G46" s="446">
        <f>D!E133</f>
        <v>6.3439600668291369</v>
      </c>
      <c r="H46" s="444">
        <f>D!F133</f>
        <v>85.961690084968936</v>
      </c>
      <c r="I46" s="446">
        <f>D!G133</f>
        <v>6.6124376988437641</v>
      </c>
      <c r="J46" s="444">
        <f>D!H133</f>
        <v>88.477459651087315</v>
      </c>
      <c r="K46" s="446">
        <f>D!I133</f>
        <v>6.8059584346990238</v>
      </c>
    </row>
    <row r="47" spans="2:11">
      <c r="B47" s="1815" t="s">
        <v>308</v>
      </c>
      <c r="C47" s="1071">
        <v>133</v>
      </c>
      <c r="D47" s="447">
        <f>D!B134</f>
        <v>77.50806669862115</v>
      </c>
      <c r="E47" s="448">
        <f>D!C134</f>
        <v>5.9621589768170118</v>
      </c>
      <c r="F47" s="447">
        <f>D!D134</f>
        <v>82.471480868778784</v>
      </c>
      <c r="G47" s="448">
        <f>D!E134</f>
        <v>6.3439600668291369</v>
      </c>
      <c r="H47" s="447">
        <f>D!F134</f>
        <v>85.961690084968936</v>
      </c>
      <c r="I47" s="448">
        <f>D!G134</f>
        <v>6.6124376988437641</v>
      </c>
      <c r="J47" s="447">
        <f>D!H134</f>
        <v>88.477459651087315</v>
      </c>
      <c r="K47" s="448">
        <f>D!I134</f>
        <v>6.8059584346990238</v>
      </c>
    </row>
    <row r="48" spans="2:11">
      <c r="B48" s="1817"/>
      <c r="C48" s="1072">
        <v>139</v>
      </c>
      <c r="D48" s="449">
        <f>D!B142</f>
        <v>77.50806669862115</v>
      </c>
      <c r="E48" s="450">
        <f>D!C142</f>
        <v>5.9621589768170118</v>
      </c>
      <c r="F48" s="451">
        <f>D!D142</f>
        <v>82.471480868778784</v>
      </c>
      <c r="G48" s="450">
        <f>D!E142</f>
        <v>6.3439600668291369</v>
      </c>
      <c r="H48" s="451">
        <f>D!F142</f>
        <v>85.961690084968936</v>
      </c>
      <c r="I48" s="450">
        <f>D!G142</f>
        <v>6.6124376988437641</v>
      </c>
      <c r="J48" s="451">
        <f>D!H142</f>
        <v>88.477459651087315</v>
      </c>
      <c r="K48" s="450">
        <f>D!I142</f>
        <v>6.8059584346990238</v>
      </c>
    </row>
    <row r="49" spans="2:11">
      <c r="B49" s="452" t="s">
        <v>309</v>
      </c>
      <c r="C49" s="1073">
        <v>140</v>
      </c>
      <c r="D49" s="453">
        <f>D!B144</f>
        <v>37</v>
      </c>
      <c r="E49" s="454">
        <f>D!C144</f>
        <v>3.0833333333333335</v>
      </c>
      <c r="F49" s="455">
        <f>D!D144</f>
        <v>42</v>
      </c>
      <c r="G49" s="454">
        <f>D!E144</f>
        <v>3.5</v>
      </c>
      <c r="H49" s="455">
        <f>D!F144</f>
        <v>43</v>
      </c>
      <c r="I49" s="454">
        <f>D!G144</f>
        <v>3.5833333333333335</v>
      </c>
      <c r="J49" s="455">
        <f>D!H144</f>
        <v>40</v>
      </c>
      <c r="K49" s="454">
        <f>D!I144</f>
        <v>3.3333333333333335</v>
      </c>
    </row>
    <row r="50" spans="2:11">
      <c r="B50" s="456"/>
      <c r="F50" s="457"/>
    </row>
  </sheetData>
  <sheetProtection sheet="1" objects="1" scenarios="1" selectLockedCells="1"/>
  <customSheetViews>
    <customSheetView guid="{459F3284-99E1-4A46-80B6-CF44B0CB392E}" fitToPage="1">
      <selection activeCell="F4" sqref="F4"/>
      <printOptions horizontalCentered="1"/>
      <pageSetup paperSize="9" scale="70" orientation="portrait" cellComments="atEnd"/>
      <headerFooter alignWithMargins="0"/>
    </customSheetView>
  </customSheetViews>
  <mergeCells count="7">
    <mergeCell ref="B4:K4"/>
    <mergeCell ref="B16:B19"/>
    <mergeCell ref="B30:B46"/>
    <mergeCell ref="B47:B48"/>
    <mergeCell ref="B5:C5"/>
    <mergeCell ref="B21:B23"/>
    <mergeCell ref="B24:B28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65" orientation="portrait" cellComments="asDisplayed" errors="blank"/>
  <headerFooter scaleWithDoc="0"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3" name="Button 12">
              <controlPr defaultSize="0" print="0" autoFill="0" autoPict="0" macro="[0]!Startseite">
                <anchor moveWithCells="1">
                  <from>
                    <xdr:col>2</xdr:col>
                    <xdr:colOff>25400</xdr:colOff>
                    <xdr:row>1</xdr:row>
                    <xdr:rowOff>0</xdr:rowOff>
                  </from>
                  <to>
                    <xdr:col>3</xdr:col>
                    <xdr:colOff>800100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229" r:id="rId4" name="Button 13">
              <controlPr defaultSize="0" print="0" autoFill="0" autoPict="0" macro="[0]!Futterberechnung">
                <anchor moveWithCells="1">
                  <from>
                    <xdr:col>5</xdr:col>
                    <xdr:colOff>25400</xdr:colOff>
                    <xdr:row>1</xdr:row>
                    <xdr:rowOff>12700</xdr:rowOff>
                  </from>
                  <to>
                    <xdr:col>6</xdr:col>
                    <xdr:colOff>812800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9230" r:id="rId5" name="Button 14">
              <controlPr defaultSize="0" print="0" autoFill="0" autoPict="0" macro="[0]!FuMi_Liste">
                <anchor moveWithCells="1">
                  <from>
                    <xdr:col>8</xdr:col>
                    <xdr:colOff>25400</xdr:colOff>
                    <xdr:row>1</xdr:row>
                    <xdr:rowOff>0</xdr:rowOff>
                  </from>
                  <to>
                    <xdr:col>9</xdr:col>
                    <xdr:colOff>812800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 enableFormatConditionsCalculation="0">
    <tabColor indexed="52"/>
    <pageSetUpPr fitToPage="1"/>
  </sheetPr>
  <dimension ref="B1:AA33"/>
  <sheetViews>
    <sheetView showGridLines="0" showRowColHeaders="0" zoomScale="105" zoomScaleNormal="105" zoomScalePageLayoutView="105" workbookViewId="0">
      <selection activeCell="F6" sqref="F6"/>
    </sheetView>
  </sheetViews>
  <sheetFormatPr baseColWidth="10" defaultRowHeight="12" x14ac:dyDescent="0"/>
  <cols>
    <col min="1" max="1" width="2" style="94" customWidth="1"/>
    <col min="2" max="14" width="10.6640625" style="94" customWidth="1"/>
    <col min="15" max="16" width="10.6640625" style="536" customWidth="1"/>
    <col min="17" max="16384" width="10.83203125" style="94"/>
  </cols>
  <sheetData>
    <row r="1" spans="2:27" s="99" customFormat="1" ht="5.25" customHeight="1"/>
    <row r="2" spans="2:27" s="99" customFormat="1" ht="24" customHeight="1"/>
    <row r="3" spans="2:27" s="99" customFormat="1" ht="3.75" customHeight="1">
      <c r="Y3" s="14"/>
      <c r="Z3" s="14"/>
      <c r="AA3" s="14"/>
    </row>
    <row r="4" spans="2:27" ht="13" thickBot="1">
      <c r="E4" s="1849" t="s">
        <v>425</v>
      </c>
      <c r="F4" s="1849"/>
      <c r="G4" s="1849"/>
      <c r="I4" s="94" t="s">
        <v>88</v>
      </c>
      <c r="L4" s="94" t="s">
        <v>89</v>
      </c>
    </row>
    <row r="5" spans="2:27" ht="25" thickBot="1">
      <c r="F5" s="95" t="s">
        <v>482</v>
      </c>
      <c r="I5" s="95" t="s">
        <v>483</v>
      </c>
      <c r="L5" s="95" t="s">
        <v>484</v>
      </c>
    </row>
    <row r="6" spans="2:27" ht="13" thickBot="1">
      <c r="F6" s="329">
        <v>13.8</v>
      </c>
      <c r="I6" s="329">
        <v>13.4</v>
      </c>
      <c r="L6" s="329">
        <v>13</v>
      </c>
    </row>
    <row r="7" spans="2:27">
      <c r="F7" s="168" t="s">
        <v>479</v>
      </c>
      <c r="I7" s="168" t="s">
        <v>316</v>
      </c>
      <c r="L7" s="168" t="s">
        <v>480</v>
      </c>
    </row>
    <row r="8" spans="2:27" ht="27" customHeight="1">
      <c r="B8" s="1850" t="s">
        <v>475</v>
      </c>
      <c r="C8" s="1850"/>
      <c r="D8" s="1850"/>
      <c r="E8" s="1850"/>
      <c r="F8" s="1850"/>
      <c r="G8" s="1850"/>
      <c r="H8" s="1850"/>
      <c r="I8" s="1850"/>
      <c r="J8" s="1850"/>
      <c r="K8" s="1850"/>
      <c r="L8" s="1850"/>
      <c r="M8" s="1850"/>
      <c r="N8" s="1850"/>
      <c r="O8" s="1851"/>
      <c r="P8" s="1851"/>
    </row>
    <row r="9" spans="2:27" ht="13" thickBot="1"/>
    <row r="10" spans="2:27" s="534" customFormat="1" ht="24">
      <c r="B10" s="1857" t="s">
        <v>458</v>
      </c>
      <c r="C10" s="1854" t="s">
        <v>449</v>
      </c>
      <c r="D10" s="1855"/>
      <c r="E10" s="1854" t="s">
        <v>450</v>
      </c>
      <c r="F10" s="1855"/>
      <c r="G10" s="1854" t="s">
        <v>451</v>
      </c>
      <c r="H10" s="1855"/>
      <c r="I10" s="1854" t="s">
        <v>452</v>
      </c>
      <c r="J10" s="1855"/>
      <c r="K10" s="1856" t="s">
        <v>452</v>
      </c>
      <c r="L10" s="1856"/>
      <c r="M10" s="1854" t="s">
        <v>471</v>
      </c>
      <c r="N10" s="1855"/>
      <c r="O10" s="550" t="s">
        <v>453</v>
      </c>
      <c r="P10" s="551" t="s">
        <v>454</v>
      </c>
    </row>
    <row r="11" spans="2:27" s="534" customFormat="1" ht="15" customHeight="1">
      <c r="B11" s="1858"/>
      <c r="C11" s="1852" t="s">
        <v>36</v>
      </c>
      <c r="D11" s="1853"/>
      <c r="E11" s="1852" t="s">
        <v>257</v>
      </c>
      <c r="F11" s="1853"/>
      <c r="G11" s="1852" t="s">
        <v>455</v>
      </c>
      <c r="H11" s="1853"/>
      <c r="I11" s="1852" t="s">
        <v>473</v>
      </c>
      <c r="J11" s="1853"/>
      <c r="K11" s="1852" t="s">
        <v>481</v>
      </c>
      <c r="L11" s="1853"/>
      <c r="M11" s="1852" t="s">
        <v>472</v>
      </c>
      <c r="N11" s="1853"/>
      <c r="O11" s="552" t="s">
        <v>457</v>
      </c>
      <c r="P11" s="553" t="s">
        <v>457</v>
      </c>
    </row>
    <row r="12" spans="2:27" ht="15" customHeight="1">
      <c r="B12" s="559" t="s">
        <v>459</v>
      </c>
      <c r="C12" s="1829">
        <v>200</v>
      </c>
      <c r="D12" s="1830"/>
      <c r="E12" s="1829">
        <v>2.9</v>
      </c>
      <c r="F12" s="1830"/>
      <c r="G12" s="1861" t="s">
        <v>667</v>
      </c>
      <c r="H12" s="1862"/>
      <c r="I12" s="1862"/>
      <c r="J12" s="1862"/>
      <c r="K12" s="1863"/>
      <c r="L12" s="1860"/>
      <c r="M12" s="1859"/>
      <c r="N12" s="1860"/>
      <c r="O12" s="539"/>
      <c r="P12" s="544"/>
    </row>
    <row r="13" spans="2:27" ht="15" customHeight="1">
      <c r="B13" s="559" t="s">
        <v>460</v>
      </c>
      <c r="C13" s="1829">
        <v>225</v>
      </c>
      <c r="D13" s="1830"/>
      <c r="E13" s="1829">
        <v>4.5</v>
      </c>
      <c r="F13" s="1830"/>
      <c r="G13" s="1829"/>
      <c r="H13" s="1831"/>
      <c r="I13" s="1831"/>
      <c r="J13" s="1831"/>
      <c r="K13" s="1864"/>
      <c r="L13" s="1845"/>
      <c r="M13" s="1844"/>
      <c r="N13" s="1845"/>
      <c r="O13" s="539"/>
      <c r="P13" s="544"/>
    </row>
    <row r="14" spans="2:27" ht="15" customHeight="1">
      <c r="B14" s="559" t="s">
        <v>461</v>
      </c>
      <c r="C14" s="1829">
        <v>260</v>
      </c>
      <c r="D14" s="1830"/>
      <c r="E14" s="1829">
        <v>6.3</v>
      </c>
      <c r="F14" s="1830"/>
      <c r="G14" s="1829"/>
      <c r="H14" s="1831"/>
      <c r="I14" s="1831"/>
      <c r="J14" s="1831"/>
      <c r="K14" s="1864"/>
      <c r="L14" s="1845"/>
      <c r="M14" s="1844"/>
      <c r="N14" s="1845"/>
      <c r="O14" s="539"/>
      <c r="P14" s="544"/>
    </row>
    <row r="15" spans="2:27" ht="15" customHeight="1">
      <c r="B15" s="559" t="s">
        <v>476</v>
      </c>
      <c r="C15" s="1829">
        <v>300</v>
      </c>
      <c r="D15" s="1830"/>
      <c r="E15" s="1829">
        <v>7.5</v>
      </c>
      <c r="F15" s="1830"/>
      <c r="G15" s="1829"/>
      <c r="H15" s="1830"/>
      <c r="I15" s="1831" t="s">
        <v>470</v>
      </c>
      <c r="J15" s="1830"/>
      <c r="K15" s="1831" t="s">
        <v>485</v>
      </c>
      <c r="L15" s="1830"/>
      <c r="M15" s="1844"/>
      <c r="N15" s="1845"/>
      <c r="O15" s="539">
        <v>0.9</v>
      </c>
      <c r="P15" s="544">
        <v>1</v>
      </c>
    </row>
    <row r="16" spans="2:27" ht="15" customHeight="1">
      <c r="B16" s="562" t="s">
        <v>469</v>
      </c>
      <c r="C16" s="1835" t="s">
        <v>478</v>
      </c>
      <c r="D16" s="1835"/>
      <c r="E16" s="1835"/>
      <c r="F16" s="1835"/>
      <c r="G16" s="1835"/>
      <c r="H16" s="1835"/>
      <c r="I16" s="1835"/>
      <c r="J16" s="1835"/>
      <c r="K16" s="1836"/>
      <c r="L16" s="1836"/>
      <c r="M16" s="1836"/>
      <c r="N16" s="1836"/>
      <c r="O16" s="1836"/>
      <c r="P16" s="1837"/>
    </row>
    <row r="17" spans="2:16" s="535" customFormat="1" ht="15" customHeight="1">
      <c r="B17" s="563" t="s">
        <v>462</v>
      </c>
      <c r="C17" s="561">
        <v>450</v>
      </c>
      <c r="D17" s="548">
        <v>500</v>
      </c>
      <c r="E17" s="547">
        <v>450</v>
      </c>
      <c r="F17" s="548">
        <v>500</v>
      </c>
      <c r="G17" s="547">
        <v>450</v>
      </c>
      <c r="H17" s="548">
        <v>500</v>
      </c>
      <c r="I17" s="547">
        <v>450</v>
      </c>
      <c r="J17" s="548">
        <v>500</v>
      </c>
      <c r="K17" s="547">
        <v>450</v>
      </c>
      <c r="L17" s="548">
        <v>500</v>
      </c>
      <c r="M17" s="547">
        <v>450</v>
      </c>
      <c r="N17" s="548">
        <v>500</v>
      </c>
      <c r="O17" s="547"/>
      <c r="P17" s="549"/>
    </row>
    <row r="18" spans="2:16" ht="15" customHeight="1">
      <c r="B18" s="559" t="s">
        <v>477</v>
      </c>
      <c r="C18" s="538">
        <v>200</v>
      </c>
      <c r="D18" s="537">
        <v>200</v>
      </c>
      <c r="E18" s="540">
        <v>8.1</v>
      </c>
      <c r="F18" s="540">
        <v>8.1</v>
      </c>
      <c r="G18" s="540">
        <v>4.0999999999999996</v>
      </c>
      <c r="H18" s="540">
        <v>4.0999999999999996</v>
      </c>
      <c r="I18" s="538">
        <f>ROUND(G18*1000/$F$6,0)</f>
        <v>297</v>
      </c>
      <c r="J18" s="538">
        <f>ROUND(H18*1000/$F$6,0)</f>
        <v>297</v>
      </c>
      <c r="K18" s="542">
        <f>I18*3/1000</f>
        <v>0.89100000000000001</v>
      </c>
      <c r="L18" s="542">
        <f>J18*3/1000</f>
        <v>0.89100000000000001</v>
      </c>
      <c r="M18" s="541">
        <f>(K18)/(E18-$E$15)</f>
        <v>1.485000000000001</v>
      </c>
      <c r="N18" s="541">
        <f>(L18)/(F18-$E$15)</f>
        <v>1.485000000000001</v>
      </c>
      <c r="O18" s="542">
        <v>0.9</v>
      </c>
      <c r="P18" s="545">
        <v>1</v>
      </c>
    </row>
    <row r="19" spans="2:16" ht="15" customHeight="1">
      <c r="B19" s="559" t="s">
        <v>463</v>
      </c>
      <c r="C19" s="538">
        <v>270</v>
      </c>
      <c r="D19" s="537">
        <v>300</v>
      </c>
      <c r="E19" s="540">
        <v>10</v>
      </c>
      <c r="F19" s="540">
        <v>10.199999999999999</v>
      </c>
      <c r="G19" s="540">
        <v>6</v>
      </c>
      <c r="H19" s="540">
        <v>6.5</v>
      </c>
      <c r="I19" s="538">
        <f>ROUND(G19*1000/$F$6,0)</f>
        <v>435</v>
      </c>
      <c r="J19" s="538">
        <f>ROUND(H19*1000/$F$6,0)</f>
        <v>471</v>
      </c>
      <c r="K19" s="542">
        <f>I19*7/1000</f>
        <v>3.0449999999999999</v>
      </c>
      <c r="L19" s="542">
        <f>J19*7/1000</f>
        <v>3.2970000000000002</v>
      </c>
      <c r="M19" s="541">
        <f t="shared" ref="M19:N24" si="0">((K19))/(E19-E18)</f>
        <v>1.6026315789473682</v>
      </c>
      <c r="N19" s="541">
        <f t="shared" si="0"/>
        <v>1.5700000000000003</v>
      </c>
      <c r="O19" s="542">
        <v>0.9</v>
      </c>
      <c r="P19" s="545">
        <v>1</v>
      </c>
    </row>
    <row r="20" spans="2:16" ht="15" customHeight="1">
      <c r="B20" s="559" t="s">
        <v>464</v>
      </c>
      <c r="C20" s="538">
        <v>350</v>
      </c>
      <c r="D20" s="537">
        <v>400</v>
      </c>
      <c r="E20" s="540">
        <v>12.4</v>
      </c>
      <c r="F20" s="540">
        <v>13</v>
      </c>
      <c r="G20" s="540">
        <v>7.6</v>
      </c>
      <c r="H20" s="540">
        <v>8.3000000000000007</v>
      </c>
      <c r="I20" s="538">
        <f>ROUND(G20*1000/$I$6,0)</f>
        <v>567</v>
      </c>
      <c r="J20" s="538">
        <f>ROUND(H20*1000/$I$6,0)</f>
        <v>619</v>
      </c>
      <c r="K20" s="542">
        <f t="shared" ref="K20:L24" si="1">I20*7/1000</f>
        <v>3.9689999999999999</v>
      </c>
      <c r="L20" s="542">
        <f t="shared" si="1"/>
        <v>4.3330000000000002</v>
      </c>
      <c r="M20" s="541">
        <f t="shared" si="0"/>
        <v>1.6537499999999996</v>
      </c>
      <c r="N20" s="541">
        <f t="shared" si="0"/>
        <v>1.5474999999999997</v>
      </c>
      <c r="O20" s="542">
        <v>0.85</v>
      </c>
      <c r="P20" s="545">
        <v>0.95</v>
      </c>
    </row>
    <row r="21" spans="2:16" ht="15" customHeight="1">
      <c r="B21" s="559" t="s">
        <v>465</v>
      </c>
      <c r="C21" s="538">
        <v>420</v>
      </c>
      <c r="D21" s="537">
        <v>480</v>
      </c>
      <c r="E21" s="540">
        <v>15.4</v>
      </c>
      <c r="F21" s="540">
        <v>16.399999999999999</v>
      </c>
      <c r="G21" s="540">
        <v>9.1999999999999993</v>
      </c>
      <c r="H21" s="540">
        <v>10.3</v>
      </c>
      <c r="I21" s="538">
        <f>ROUND(G21*1000/$I$6,0)</f>
        <v>687</v>
      </c>
      <c r="J21" s="538">
        <f>ROUND(H21*1000/$I$6,0)</f>
        <v>769</v>
      </c>
      <c r="K21" s="542">
        <f t="shared" si="1"/>
        <v>4.8090000000000002</v>
      </c>
      <c r="L21" s="542">
        <f t="shared" si="1"/>
        <v>5.383</v>
      </c>
      <c r="M21" s="541">
        <f t="shared" si="0"/>
        <v>1.603</v>
      </c>
      <c r="N21" s="541">
        <f t="shared" si="0"/>
        <v>1.5832352941176477</v>
      </c>
      <c r="O21" s="542">
        <v>0.85</v>
      </c>
      <c r="P21" s="545">
        <v>0.95</v>
      </c>
    </row>
    <row r="22" spans="2:16" ht="15" customHeight="1">
      <c r="B22" s="559" t="s">
        <v>466</v>
      </c>
      <c r="C22" s="538">
        <v>510</v>
      </c>
      <c r="D22" s="537">
        <v>580</v>
      </c>
      <c r="E22" s="540">
        <v>19</v>
      </c>
      <c r="F22" s="540">
        <v>20.399999999999999</v>
      </c>
      <c r="G22" s="540">
        <v>11.3</v>
      </c>
      <c r="H22" s="540">
        <v>12.6</v>
      </c>
      <c r="I22" s="538">
        <f t="shared" ref="I22:J24" si="2">ROUND(G22*1000/$L$6,0)</f>
        <v>869</v>
      </c>
      <c r="J22" s="538">
        <f t="shared" si="2"/>
        <v>969</v>
      </c>
      <c r="K22" s="542">
        <f t="shared" si="1"/>
        <v>6.0830000000000002</v>
      </c>
      <c r="L22" s="542">
        <f t="shared" si="1"/>
        <v>6.7830000000000004</v>
      </c>
      <c r="M22" s="541">
        <f t="shared" si="0"/>
        <v>1.6897222222222223</v>
      </c>
      <c r="N22" s="541">
        <f t="shared" si="0"/>
        <v>1.6957500000000001</v>
      </c>
      <c r="O22" s="542">
        <v>0.8</v>
      </c>
      <c r="P22" s="545">
        <v>0.9</v>
      </c>
    </row>
    <row r="23" spans="2:16" ht="15" customHeight="1">
      <c r="B23" s="559" t="s">
        <v>467</v>
      </c>
      <c r="C23" s="538">
        <v>610</v>
      </c>
      <c r="D23" s="537">
        <v>650</v>
      </c>
      <c r="E23" s="540">
        <v>23.2</v>
      </c>
      <c r="F23" s="540">
        <v>25</v>
      </c>
      <c r="G23" s="540">
        <v>13.8</v>
      </c>
      <c r="H23" s="540">
        <v>14.8</v>
      </c>
      <c r="I23" s="538">
        <f t="shared" si="2"/>
        <v>1062</v>
      </c>
      <c r="J23" s="538">
        <f t="shared" si="2"/>
        <v>1138</v>
      </c>
      <c r="K23" s="542">
        <f t="shared" si="1"/>
        <v>7.4340000000000002</v>
      </c>
      <c r="L23" s="542">
        <f t="shared" si="1"/>
        <v>7.9660000000000002</v>
      </c>
      <c r="M23" s="541">
        <f t="shared" si="0"/>
        <v>1.7700000000000002</v>
      </c>
      <c r="N23" s="541">
        <f t="shared" si="0"/>
        <v>1.7317391304347822</v>
      </c>
      <c r="O23" s="542">
        <v>0.8</v>
      </c>
      <c r="P23" s="545">
        <v>0.9</v>
      </c>
    </row>
    <row r="24" spans="2:16" ht="15" customHeight="1">
      <c r="B24" s="559" t="s">
        <v>468</v>
      </c>
      <c r="C24" s="538">
        <v>680</v>
      </c>
      <c r="D24" s="537">
        <v>720</v>
      </c>
      <c r="E24" s="540">
        <v>28</v>
      </c>
      <c r="F24" s="540">
        <v>30</v>
      </c>
      <c r="G24" s="540">
        <v>16.100000000000001</v>
      </c>
      <c r="H24" s="540">
        <v>17.3</v>
      </c>
      <c r="I24" s="538">
        <f t="shared" si="2"/>
        <v>1238</v>
      </c>
      <c r="J24" s="538">
        <f t="shared" si="2"/>
        <v>1331</v>
      </c>
      <c r="K24" s="542">
        <f t="shared" si="1"/>
        <v>8.6660000000000004</v>
      </c>
      <c r="L24" s="542">
        <f t="shared" si="1"/>
        <v>9.3170000000000002</v>
      </c>
      <c r="M24" s="541">
        <f t="shared" si="0"/>
        <v>1.8054166666666664</v>
      </c>
      <c r="N24" s="541">
        <f t="shared" si="0"/>
        <v>1.8633999999999999</v>
      </c>
      <c r="O24" s="542">
        <v>0.8</v>
      </c>
      <c r="P24" s="545">
        <v>0.9</v>
      </c>
    </row>
    <row r="25" spans="2:16" ht="15" customHeight="1" thickBot="1">
      <c r="B25" s="566"/>
      <c r="C25" s="543"/>
      <c r="D25" s="543"/>
      <c r="E25" s="564"/>
      <c r="F25" s="565"/>
      <c r="G25" s="540"/>
      <c r="H25" s="540"/>
      <c r="I25" s="538"/>
      <c r="J25" s="538"/>
      <c r="K25" s="542"/>
      <c r="L25" s="541"/>
      <c r="M25" s="541"/>
      <c r="N25" s="541"/>
      <c r="O25" s="542"/>
      <c r="P25" s="545"/>
    </row>
    <row r="26" spans="2:16" ht="15" customHeight="1">
      <c r="B26" s="546"/>
      <c r="C26" s="543"/>
      <c r="D26" s="543"/>
      <c r="E26" s="543"/>
      <c r="F26" s="543"/>
      <c r="G26" s="1846" t="s">
        <v>504</v>
      </c>
      <c r="H26" s="1847"/>
      <c r="I26" s="1847"/>
      <c r="J26" s="1848"/>
      <c r="K26" s="567">
        <f>0.08*13.8/F6+K18+K19</f>
        <v>4.016</v>
      </c>
      <c r="L26" s="568">
        <f>0.2*13.8/F6+L18+L19</f>
        <v>4.3879999999999999</v>
      </c>
      <c r="M26" s="541"/>
      <c r="N26" s="542"/>
      <c r="O26" s="542"/>
      <c r="P26" s="545"/>
    </row>
    <row r="27" spans="2:16" ht="15" customHeight="1">
      <c r="B27" s="546"/>
      <c r="C27" s="543"/>
      <c r="D27" s="543"/>
      <c r="E27" s="543"/>
      <c r="F27" s="543"/>
      <c r="G27" s="1838" t="s">
        <v>505</v>
      </c>
      <c r="H27" s="1839"/>
      <c r="I27" s="1839"/>
      <c r="J27" s="1840"/>
      <c r="K27" s="569">
        <f>K20+K21</f>
        <v>8.7780000000000005</v>
      </c>
      <c r="L27" s="570">
        <f>L20+L21</f>
        <v>9.7160000000000011</v>
      </c>
      <c r="M27" s="541"/>
      <c r="N27" s="542"/>
      <c r="O27" s="542"/>
      <c r="P27" s="545"/>
    </row>
    <row r="28" spans="2:16" ht="15" customHeight="1" thickBot="1">
      <c r="B28" s="546"/>
      <c r="C28" s="543"/>
      <c r="D28" s="543"/>
      <c r="E28" s="543"/>
      <c r="F28" s="543"/>
      <c r="G28" s="1832" t="s">
        <v>522</v>
      </c>
      <c r="H28" s="1833"/>
      <c r="I28" s="1833"/>
      <c r="J28" s="1834"/>
      <c r="K28" s="555">
        <f>K22+K23+K24</f>
        <v>22.183</v>
      </c>
      <c r="L28" s="571">
        <f>L22+L23+L24</f>
        <v>24.066000000000003</v>
      </c>
      <c r="M28" s="541"/>
      <c r="N28" s="542"/>
      <c r="O28" s="542"/>
      <c r="P28" s="545"/>
    </row>
    <row r="29" spans="2:16" ht="15" customHeight="1">
      <c r="B29" s="546"/>
      <c r="C29" s="543"/>
      <c r="D29" s="543"/>
      <c r="E29" s="543"/>
      <c r="F29" s="537"/>
      <c r="G29" s="538"/>
      <c r="H29" s="572"/>
      <c r="I29" s="573"/>
      <c r="J29" s="573"/>
      <c r="K29" s="540"/>
      <c r="L29" s="540"/>
      <c r="M29" s="541"/>
      <c r="N29" s="542"/>
      <c r="O29" s="542"/>
      <c r="P29" s="545"/>
    </row>
    <row r="30" spans="2:16" s="534" customFormat="1" ht="15" customHeight="1" thickBot="1">
      <c r="B30" s="1841" t="s">
        <v>668</v>
      </c>
      <c r="C30" s="1842"/>
      <c r="D30" s="1842"/>
      <c r="E30" s="1842"/>
      <c r="F30" s="1843"/>
      <c r="G30" s="554">
        <v>460</v>
      </c>
      <c r="H30" s="554">
        <v>501</v>
      </c>
      <c r="I30" s="554"/>
      <c r="J30" s="555"/>
      <c r="K30" s="555">
        <f>SUM(K18:K24,0.08*13.8/F6)</f>
        <v>34.976999999999997</v>
      </c>
      <c r="L30" s="560">
        <f>SUM(L18:L24,0.2*13.8/F6)</f>
        <v>38.17</v>
      </c>
      <c r="M30" s="556">
        <f>(K30-(0.08*13.8/F6))/(E24-$E$15)</f>
        <v>1.7022926829268292</v>
      </c>
      <c r="N30" s="557">
        <f>(L30-(0.2*13.8/F6))/(F24-$E$15)</f>
        <v>1.6875555555555555</v>
      </c>
      <c r="O30" s="557"/>
      <c r="P30" s="558"/>
    </row>
    <row r="31" spans="2:16" ht="15" customHeight="1">
      <c r="B31" s="1823" t="s">
        <v>503</v>
      </c>
      <c r="C31" s="1824"/>
      <c r="D31" s="1824"/>
      <c r="E31" s="1824"/>
      <c r="F31" s="1824"/>
      <c r="G31" s="1824"/>
      <c r="H31" s="1824"/>
      <c r="I31" s="1824"/>
      <c r="J31" s="1824"/>
      <c r="K31" s="1824"/>
      <c r="L31" s="1824"/>
      <c r="M31" s="1824"/>
      <c r="N31" s="1824"/>
      <c r="O31" s="1824"/>
      <c r="P31" s="1825"/>
    </row>
    <row r="32" spans="2:16" ht="15" customHeight="1" thickBot="1">
      <c r="B32" s="1826"/>
      <c r="C32" s="1827"/>
      <c r="D32" s="1827"/>
      <c r="E32" s="1827"/>
      <c r="F32" s="1827"/>
      <c r="G32" s="1827"/>
      <c r="H32" s="1827"/>
      <c r="I32" s="1827"/>
      <c r="J32" s="1827"/>
      <c r="K32" s="1827"/>
      <c r="L32" s="1827"/>
      <c r="M32" s="1827"/>
      <c r="N32" s="1827"/>
      <c r="O32" s="1827"/>
      <c r="P32" s="1828"/>
    </row>
    <row r="33" ht="15" customHeight="1"/>
  </sheetData>
  <sheetProtection sheet="1" objects="1" scenarios="1" selectLockedCells="1"/>
  <customSheetViews>
    <customSheetView guid="{459F3284-99E1-4A46-80B6-CF44B0CB392E}" scale="85" fitToPage="1">
      <selection activeCell="F3" sqref="F3"/>
      <printOptions horizontalCentered="1" verticalCentered="1"/>
      <pageSetup paperSize="9" scale="88" orientation="landscape"/>
      <headerFooter alignWithMargins="0"/>
    </customSheetView>
  </customSheetViews>
  <mergeCells count="37">
    <mergeCell ref="M12:N12"/>
    <mergeCell ref="M13:N13"/>
    <mergeCell ref="M14:N14"/>
    <mergeCell ref="C12:D12"/>
    <mergeCell ref="E12:F12"/>
    <mergeCell ref="C13:D13"/>
    <mergeCell ref="E13:F13"/>
    <mergeCell ref="G12:L14"/>
    <mergeCell ref="C14:D14"/>
    <mergeCell ref="E14:F14"/>
    <mergeCell ref="E4:G4"/>
    <mergeCell ref="B8:P8"/>
    <mergeCell ref="G11:H11"/>
    <mergeCell ref="C11:D11"/>
    <mergeCell ref="E11:F11"/>
    <mergeCell ref="I11:J11"/>
    <mergeCell ref="G10:H10"/>
    <mergeCell ref="I10:J10"/>
    <mergeCell ref="K10:L10"/>
    <mergeCell ref="K11:L11"/>
    <mergeCell ref="M10:N10"/>
    <mergeCell ref="M11:N11"/>
    <mergeCell ref="B10:B11"/>
    <mergeCell ref="C10:D10"/>
    <mergeCell ref="E10:F10"/>
    <mergeCell ref="B31:P32"/>
    <mergeCell ref="C15:D15"/>
    <mergeCell ref="E15:F15"/>
    <mergeCell ref="K15:L15"/>
    <mergeCell ref="G28:J28"/>
    <mergeCell ref="G15:H15"/>
    <mergeCell ref="I15:J15"/>
    <mergeCell ref="C16:P16"/>
    <mergeCell ref="G27:J27"/>
    <mergeCell ref="B30:F30"/>
    <mergeCell ref="M15:N15"/>
    <mergeCell ref="G26:J26"/>
  </mergeCells>
  <phoneticPr fontId="2" type="noConversion"/>
  <printOptions horizontalCentered="1" verticalCentered="1"/>
  <pageMargins left="0.27559055118110237" right="0.27559055118110237" top="0" bottom="0.78740157480314965" header="0.31496062992125984" footer="0.31496062992125984"/>
  <pageSetup paperSize="9" scale="89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7" r:id="rId3" name="Button 5">
              <controlPr defaultSize="0" print="0" autoFill="0" autoPict="0" macro="[0]!Startseite">
                <anchor moveWithCells="1">
                  <from>
                    <xdr:col>4</xdr:col>
                    <xdr:colOff>254000</xdr:colOff>
                    <xdr:row>1</xdr:row>
                    <xdr:rowOff>0</xdr:rowOff>
                  </from>
                  <to>
                    <xdr:col>6</xdr:col>
                    <xdr:colOff>520700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18" r:id="rId4" name="Button 6">
              <controlPr defaultSize="0" print="0" autoFill="0" autoPict="0" macro="[0]!Futterberechnung">
                <anchor moveWithCells="1">
                  <from>
                    <xdr:col>7</xdr:col>
                    <xdr:colOff>241300</xdr:colOff>
                    <xdr:row>1</xdr:row>
                    <xdr:rowOff>0</xdr:rowOff>
                  </from>
                  <to>
                    <xdr:col>9</xdr:col>
                    <xdr:colOff>520700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19" r:id="rId5" name="Button 7">
              <controlPr defaultSize="0" print="0" autoFill="0" autoPict="0" macro="[0]!FuMi_Liste">
                <anchor moveWithCells="1">
                  <from>
                    <xdr:col>10</xdr:col>
                    <xdr:colOff>215900</xdr:colOff>
                    <xdr:row>0</xdr:row>
                    <xdr:rowOff>63500</xdr:rowOff>
                  </from>
                  <to>
                    <xdr:col>12</xdr:col>
                    <xdr:colOff>482600</xdr:colOff>
                    <xdr:row>1</xdr:row>
                    <xdr:rowOff>279400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 enableFormatConditionsCalculation="0">
    <tabColor indexed="53"/>
    <pageSetUpPr fitToPage="1"/>
  </sheetPr>
  <dimension ref="B1:AA29"/>
  <sheetViews>
    <sheetView showGridLines="0" showRowColHeaders="0" workbookViewId="0">
      <selection activeCell="C6" sqref="C6"/>
    </sheetView>
  </sheetViews>
  <sheetFormatPr baseColWidth="10" defaultRowHeight="12" x14ac:dyDescent="0"/>
  <cols>
    <col min="1" max="1" width="3.5" style="660" customWidth="1"/>
    <col min="2" max="16" width="11.33203125" style="660" customWidth="1"/>
    <col min="17" max="17" width="9.6640625" style="660" customWidth="1"/>
    <col min="18" max="16384" width="10.83203125" style="660"/>
  </cols>
  <sheetData>
    <row r="1" spans="2:27" s="99" customFormat="1" ht="5.25" customHeight="1"/>
    <row r="2" spans="2:27" s="99" customFormat="1" ht="24" customHeight="1"/>
    <row r="3" spans="2:27" s="99" customFormat="1" ht="3.75" customHeight="1">
      <c r="Y3" s="14"/>
      <c r="Z3" s="14"/>
      <c r="AA3" s="14"/>
    </row>
    <row r="4" spans="2:27" ht="13" thickBot="1">
      <c r="P4" s="661"/>
    </row>
    <row r="5" spans="2:27" ht="25" thickBot="1">
      <c r="C5" s="662" t="s">
        <v>506</v>
      </c>
      <c r="F5" s="662" t="s">
        <v>507</v>
      </c>
      <c r="I5" s="662" t="s">
        <v>567</v>
      </c>
      <c r="L5" s="662" t="s">
        <v>508</v>
      </c>
      <c r="O5" s="662" t="s">
        <v>509</v>
      </c>
      <c r="P5" s="661"/>
    </row>
    <row r="6" spans="2:27" ht="13" thickBot="1">
      <c r="C6" s="329">
        <v>13</v>
      </c>
      <c r="F6" s="329">
        <v>13</v>
      </c>
      <c r="I6" s="329">
        <v>13</v>
      </c>
      <c r="L6" s="329">
        <v>13</v>
      </c>
      <c r="O6" s="329">
        <v>13</v>
      </c>
      <c r="P6" s="661"/>
    </row>
    <row r="7" spans="2:27">
      <c r="C7" s="663" t="s">
        <v>317</v>
      </c>
      <c r="F7" s="663" t="s">
        <v>563</v>
      </c>
      <c r="I7" s="663" t="s">
        <v>561</v>
      </c>
      <c r="L7" s="663" t="s">
        <v>562</v>
      </c>
      <c r="O7" s="664" t="s">
        <v>562</v>
      </c>
      <c r="P7" s="661"/>
    </row>
    <row r="8" spans="2:27">
      <c r="B8" s="663"/>
      <c r="E8" s="663"/>
      <c r="H8" s="663"/>
      <c r="K8" s="663"/>
      <c r="O8" s="663"/>
      <c r="P8" s="661"/>
    </row>
    <row r="9" spans="2:27">
      <c r="B9" s="663"/>
      <c r="E9" s="663"/>
      <c r="H9" s="663"/>
      <c r="K9" s="663"/>
      <c r="O9" s="663"/>
      <c r="P9" s="661"/>
    </row>
    <row r="10" spans="2:27">
      <c r="B10" s="663"/>
      <c r="E10" s="663"/>
      <c r="H10" s="663"/>
      <c r="K10" s="663"/>
      <c r="O10" s="663"/>
      <c r="P10" s="661"/>
    </row>
    <row r="11" spans="2:27">
      <c r="B11" s="663"/>
      <c r="E11" s="663"/>
      <c r="H11" s="663"/>
      <c r="K11" s="663"/>
      <c r="O11" s="663"/>
      <c r="P11" s="661"/>
    </row>
    <row r="12" spans="2:27">
      <c r="B12" s="663"/>
      <c r="E12" s="663"/>
      <c r="H12" s="663"/>
      <c r="K12" s="663"/>
      <c r="O12" s="663"/>
      <c r="P12" s="661"/>
    </row>
    <row r="13" spans="2:27" ht="24.75" customHeight="1">
      <c r="B13" s="1868" t="s">
        <v>575</v>
      </c>
      <c r="C13" s="1869"/>
      <c r="D13" s="1869"/>
      <c r="E13" s="1869"/>
      <c r="F13" s="1869"/>
      <c r="G13" s="1869"/>
      <c r="H13" s="1869"/>
      <c r="I13" s="1869"/>
      <c r="J13" s="1869"/>
      <c r="K13" s="1869"/>
      <c r="L13" s="1869"/>
      <c r="M13" s="1869"/>
      <c r="N13" s="1869"/>
      <c r="O13" s="1869"/>
      <c r="P13" s="1869"/>
    </row>
    <row r="14" spans="2:27" ht="13" thickBot="1"/>
    <row r="15" spans="2:27" ht="36">
      <c r="B15" s="696" t="s">
        <v>492</v>
      </c>
      <c r="C15" s="697" t="s">
        <v>486</v>
      </c>
      <c r="D15" s="697" t="s">
        <v>82</v>
      </c>
      <c r="E15" s="697" t="s">
        <v>488</v>
      </c>
      <c r="F15" s="697" t="s">
        <v>82</v>
      </c>
      <c r="G15" s="697" t="s">
        <v>493</v>
      </c>
      <c r="H15" s="697" t="s">
        <v>494</v>
      </c>
      <c r="I15" s="697" t="s">
        <v>497</v>
      </c>
      <c r="J15" s="697" t="s">
        <v>498</v>
      </c>
      <c r="K15" s="697" t="s">
        <v>488</v>
      </c>
      <c r="L15" s="697" t="s">
        <v>511</v>
      </c>
      <c r="M15" s="697" t="s">
        <v>564</v>
      </c>
      <c r="N15" s="697" t="s">
        <v>491</v>
      </c>
      <c r="O15" s="697" t="s">
        <v>568</v>
      </c>
      <c r="P15" s="698" t="s">
        <v>569</v>
      </c>
    </row>
    <row r="16" spans="2:27" ht="24">
      <c r="B16" s="665" t="s">
        <v>257</v>
      </c>
      <c r="C16" s="666" t="s">
        <v>456</v>
      </c>
      <c r="D16" s="666" t="s">
        <v>487</v>
      </c>
      <c r="E16" s="666" t="s">
        <v>456</v>
      </c>
      <c r="F16" s="666" t="s">
        <v>495</v>
      </c>
      <c r="G16" s="666" t="s">
        <v>29</v>
      </c>
      <c r="H16" s="666" t="s">
        <v>489</v>
      </c>
      <c r="I16" s="666" t="s">
        <v>496</v>
      </c>
      <c r="J16" s="666" t="s">
        <v>499</v>
      </c>
      <c r="K16" s="666" t="s">
        <v>490</v>
      </c>
      <c r="L16" s="666" t="s">
        <v>490</v>
      </c>
      <c r="M16" s="667" t="s">
        <v>457</v>
      </c>
      <c r="N16" s="666" t="s">
        <v>490</v>
      </c>
      <c r="O16" s="666" t="s">
        <v>490</v>
      </c>
      <c r="P16" s="668" t="s">
        <v>490</v>
      </c>
    </row>
    <row r="17" spans="2:16" ht="15" customHeight="1">
      <c r="B17" s="1870" t="s">
        <v>434</v>
      </c>
      <c r="C17" s="1871"/>
      <c r="D17" s="1871"/>
      <c r="E17" s="1871"/>
      <c r="F17" s="1871"/>
      <c r="G17" s="1871"/>
      <c r="H17" s="1871"/>
      <c r="I17" s="1871"/>
      <c r="J17" s="1871"/>
      <c r="K17" s="1871"/>
      <c r="L17" s="1871"/>
      <c r="M17" s="1871"/>
      <c r="N17" s="1871"/>
      <c r="O17" s="1871"/>
      <c r="P17" s="1872"/>
    </row>
    <row r="18" spans="2:16" ht="15" customHeight="1" thickBot="1">
      <c r="B18" s="669" t="s">
        <v>500</v>
      </c>
      <c r="C18" s="575">
        <v>600</v>
      </c>
      <c r="D18" s="670">
        <f>17*C18/600</f>
        <v>17</v>
      </c>
      <c r="E18" s="671">
        <f>11.4*C18/600</f>
        <v>11.4</v>
      </c>
      <c r="F18" s="671">
        <f>C6</f>
        <v>13</v>
      </c>
      <c r="G18" s="1056" t="s">
        <v>656</v>
      </c>
      <c r="H18" s="671">
        <f>D18/F18</f>
        <v>1.3076923076923077</v>
      </c>
      <c r="I18" s="671">
        <f>12/(C18/1000)*H18</f>
        <v>26.153846153846153</v>
      </c>
      <c r="J18" s="671">
        <f>H18/(C18/1000)</f>
        <v>2.1794871794871797</v>
      </c>
      <c r="K18" s="699">
        <f>E18/H18</f>
        <v>8.7176470588235304</v>
      </c>
      <c r="L18" s="671">
        <f>K18/0.885</f>
        <v>9.8504486540378871</v>
      </c>
      <c r="M18" s="701">
        <f>L18/F18</f>
        <v>0.75772681954137588</v>
      </c>
      <c r="N18" s="699">
        <f>8*C6/13</f>
        <v>8</v>
      </c>
      <c r="O18" s="671">
        <f>N18/1.33</f>
        <v>6.0150375939849621</v>
      </c>
      <c r="P18" s="703">
        <f>N18/2.65</f>
        <v>3.0188679245283021</v>
      </c>
    </row>
    <row r="19" spans="2:16" ht="15" customHeight="1" thickBot="1">
      <c r="B19" s="669" t="s">
        <v>565</v>
      </c>
      <c r="C19" s="576">
        <v>680</v>
      </c>
      <c r="D19" s="674">
        <f>24*C19/680</f>
        <v>24</v>
      </c>
      <c r="E19" s="675">
        <f>14*C19/680</f>
        <v>14</v>
      </c>
      <c r="F19" s="675">
        <f>F6</f>
        <v>13</v>
      </c>
      <c r="G19" s="910" t="s">
        <v>657</v>
      </c>
      <c r="H19" s="675">
        <f>D19/F19</f>
        <v>1.8461538461538463</v>
      </c>
      <c r="I19" s="675">
        <f>30/(C19/1000)*H19</f>
        <v>81.447963800904986</v>
      </c>
      <c r="J19" s="675">
        <f>H19/(C19/1000)</f>
        <v>2.7149321266968327</v>
      </c>
      <c r="K19" s="677">
        <f>E19/H19</f>
        <v>7.583333333333333</v>
      </c>
      <c r="L19" s="675">
        <f>K19/0.8</f>
        <v>9.4791666666666661</v>
      </c>
      <c r="M19" s="702">
        <f>L19/F19</f>
        <v>0.72916666666666663</v>
      </c>
      <c r="N19" s="685">
        <f>7*F6/13</f>
        <v>7</v>
      </c>
      <c r="O19" s="675">
        <f>N19/1.2</f>
        <v>5.8333333333333339</v>
      </c>
      <c r="P19" s="704">
        <f>N19/2.55</f>
        <v>2.7450980392156863</v>
      </c>
    </row>
    <row r="20" spans="2:16" ht="15" customHeight="1">
      <c r="B20" s="669" t="s">
        <v>566</v>
      </c>
      <c r="C20" s="574">
        <v>700</v>
      </c>
      <c r="D20" s="681">
        <f>30*C20/700</f>
        <v>30</v>
      </c>
      <c r="E20" s="682">
        <f>15.5*C20/700</f>
        <v>15.5</v>
      </c>
      <c r="F20" s="682">
        <f>I6</f>
        <v>13</v>
      </c>
      <c r="G20" s="1057" t="s">
        <v>658</v>
      </c>
      <c r="H20" s="682">
        <f>D20/F20</f>
        <v>2.3076923076923075</v>
      </c>
      <c r="I20" s="682">
        <f>25/(C20/1000)*H20</f>
        <v>82.417582417582409</v>
      </c>
      <c r="J20" s="682">
        <f>H20/(C20/1000)</f>
        <v>3.2967032967032965</v>
      </c>
      <c r="K20" s="700">
        <f>E20/H20</f>
        <v>6.7166666666666677</v>
      </c>
      <c r="L20" s="682">
        <f>K20/0.8</f>
        <v>8.3958333333333339</v>
      </c>
      <c r="M20" s="702">
        <f>L20/F20</f>
        <v>0.64583333333333337</v>
      </c>
      <c r="N20" s="700">
        <f>6*I6/13</f>
        <v>6</v>
      </c>
      <c r="O20" s="682">
        <f>N20/1.2</f>
        <v>5</v>
      </c>
      <c r="P20" s="705">
        <f>N20/2.4</f>
        <v>2.5</v>
      </c>
    </row>
    <row r="21" spans="2:16" ht="15" customHeight="1">
      <c r="B21" s="1873" t="s">
        <v>432</v>
      </c>
      <c r="C21" s="1871"/>
      <c r="D21" s="1871"/>
      <c r="E21" s="1871"/>
      <c r="F21" s="1871"/>
      <c r="G21" s="1871"/>
      <c r="H21" s="1871"/>
      <c r="I21" s="1871"/>
      <c r="J21" s="1871"/>
      <c r="K21" s="1871"/>
      <c r="L21" s="1871"/>
      <c r="M21" s="1871"/>
      <c r="N21" s="1871"/>
      <c r="O21" s="1871"/>
      <c r="P21" s="1872"/>
    </row>
    <row r="22" spans="2:16" ht="15" customHeight="1" thickBot="1">
      <c r="B22" s="683" t="s">
        <v>501</v>
      </c>
      <c r="C22" s="577">
        <v>700</v>
      </c>
      <c r="D22" s="684">
        <f>33*C22/700</f>
        <v>33</v>
      </c>
      <c r="E22" s="671">
        <f>13.1*C22/700</f>
        <v>13.1</v>
      </c>
      <c r="F22" s="671">
        <f>L6</f>
        <v>13</v>
      </c>
      <c r="G22" s="672">
        <v>14</v>
      </c>
      <c r="H22" s="671">
        <f>D22/F22</f>
        <v>2.5384615384615383</v>
      </c>
      <c r="I22" s="671">
        <f>25/(C22/1000)*H22</f>
        <v>90.659340659340657</v>
      </c>
      <c r="J22" s="671">
        <f>H22/(C22/1000)</f>
        <v>3.6263736263736264</v>
      </c>
      <c r="K22" s="671">
        <f>E22/H22</f>
        <v>5.1606060606060611</v>
      </c>
      <c r="L22" s="675">
        <f>K22/0.8</f>
        <v>6.4507575757575761</v>
      </c>
      <c r="M22" s="678">
        <f>L22/F22</f>
        <v>0.49621212121212122</v>
      </c>
      <c r="N22" s="671">
        <f>6*L6/13</f>
        <v>6</v>
      </c>
      <c r="O22" s="671">
        <f>N22/1.2</f>
        <v>5</v>
      </c>
      <c r="P22" s="673">
        <f>N22/2.4</f>
        <v>2.5</v>
      </c>
    </row>
    <row r="23" spans="2:16" ht="15" customHeight="1" thickBot="1">
      <c r="B23" s="669" t="s">
        <v>502</v>
      </c>
      <c r="C23" s="576">
        <v>725</v>
      </c>
      <c r="D23" s="685">
        <f>39*C23/700</f>
        <v>40.392857142857146</v>
      </c>
      <c r="E23" s="675">
        <f>13.9*C23/700</f>
        <v>14.396428571428572</v>
      </c>
      <c r="F23" s="679">
        <f>O6</f>
        <v>13</v>
      </c>
      <c r="G23" s="910" t="s">
        <v>641</v>
      </c>
      <c r="H23" s="675">
        <f>D23/F23</f>
        <v>3.1071428571428572</v>
      </c>
      <c r="I23" s="675">
        <f>20/(C23/1000)*H23</f>
        <v>85.714285714285722</v>
      </c>
      <c r="J23" s="675">
        <f>H23/(C23/1000)</f>
        <v>4.2857142857142856</v>
      </c>
      <c r="K23" s="677">
        <f>E23/H23</f>
        <v>4.6333333333333337</v>
      </c>
      <c r="L23" s="675">
        <f>K23/0.8</f>
        <v>5.791666666666667</v>
      </c>
      <c r="M23" s="702">
        <f>L23/F23</f>
        <v>0.44551282051282054</v>
      </c>
      <c r="N23" s="675">
        <f>6*O6/13</f>
        <v>6</v>
      </c>
      <c r="O23" s="675">
        <f>N23/1.2</f>
        <v>5</v>
      </c>
      <c r="P23" s="680">
        <f>N23/2.4</f>
        <v>2.5</v>
      </c>
    </row>
    <row r="24" spans="2:16" ht="15" customHeight="1">
      <c r="B24" s="686"/>
      <c r="C24" s="687"/>
      <c r="D24" s="688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89"/>
    </row>
    <row r="25" spans="2:16" s="692" customFormat="1" ht="15" customHeight="1" thickBot="1">
      <c r="B25" s="1874" t="s">
        <v>510</v>
      </c>
      <c r="C25" s="1875"/>
      <c r="D25" s="1875"/>
      <c r="E25" s="1875"/>
      <c r="F25" s="1875"/>
      <c r="G25" s="1875"/>
      <c r="H25" s="1876"/>
      <c r="I25" s="690">
        <f>SUM(I22:I24,I18:I20)</f>
        <v>366.39301874595998</v>
      </c>
      <c r="J25" s="691">
        <f>I25/112</f>
        <v>3.2713662388032141</v>
      </c>
      <c r="K25" s="1877"/>
      <c r="L25" s="1875"/>
      <c r="M25" s="1875"/>
      <c r="N25" s="1875"/>
      <c r="O25" s="1875"/>
      <c r="P25" s="1878"/>
    </row>
    <row r="26" spans="2:16" ht="15" customHeight="1">
      <c r="B26" s="693"/>
      <c r="C26" s="694"/>
      <c r="D26" s="694"/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5"/>
    </row>
    <row r="27" spans="2:16" ht="15" customHeight="1" thickBot="1">
      <c r="B27" s="1865" t="s">
        <v>512</v>
      </c>
      <c r="C27" s="1866"/>
      <c r="D27" s="1866"/>
      <c r="E27" s="1866"/>
      <c r="F27" s="1866"/>
      <c r="G27" s="1866"/>
      <c r="H27" s="1866"/>
      <c r="I27" s="1866"/>
      <c r="J27" s="1866"/>
      <c r="K27" s="1866"/>
      <c r="L27" s="1866"/>
      <c r="M27" s="1866"/>
      <c r="N27" s="1866"/>
      <c r="O27" s="1866"/>
      <c r="P27" s="1867"/>
    </row>
    <row r="28" spans="2:16" ht="15" customHeight="1"/>
    <row r="29" spans="2:16" ht="15" customHeight="1"/>
  </sheetData>
  <sheetProtection sheet="1" objects="1" scenarios="1" selectLockedCells="1"/>
  <customSheetViews>
    <customSheetView guid="{459F3284-99E1-4A46-80B6-CF44B0CB392E}" scale="85" fitToPage="1" printArea="1">
      <selection activeCell="C16" sqref="C16"/>
      <printOptions horizontalCentered="1" verticalCentered="1"/>
      <pageSetup paperSize="9" scale="89" orientation="landscape"/>
      <headerFooter alignWithMargins="0"/>
    </customSheetView>
  </customSheetViews>
  <mergeCells count="6">
    <mergeCell ref="B27:P27"/>
    <mergeCell ref="B13:P13"/>
    <mergeCell ref="B17:P17"/>
    <mergeCell ref="B21:P21"/>
    <mergeCell ref="B25:H25"/>
    <mergeCell ref="K25:P25"/>
  </mergeCells>
  <phoneticPr fontId="2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3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6" r:id="rId3" name="Button 10">
              <controlPr defaultSize="0" print="0" autoFill="0" autoPict="0" macro="[0]!Startseite">
                <anchor moveWithCells="1">
                  <from>
                    <xdr:col>4</xdr:col>
                    <xdr:colOff>254000</xdr:colOff>
                    <xdr:row>1</xdr:row>
                    <xdr:rowOff>0</xdr:rowOff>
                  </from>
                  <to>
                    <xdr:col>6</xdr:col>
                    <xdr:colOff>444500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4347" r:id="rId4" name="Button 11">
              <controlPr defaultSize="0" print="0" autoFill="0" autoPict="0" macro="[0]!Futterberechnung">
                <anchor moveWithCells="1">
                  <from>
                    <xdr:col>7</xdr:col>
                    <xdr:colOff>254000</xdr:colOff>
                    <xdr:row>1</xdr:row>
                    <xdr:rowOff>0</xdr:rowOff>
                  </from>
                  <to>
                    <xdr:col>9</xdr:col>
                    <xdr:colOff>444500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4348" r:id="rId5" name="Button 12">
              <controlPr defaultSize="0" print="0" autoFill="0" autoPict="0" macro="[0]!FuMi_Liste">
                <anchor moveWithCells="1">
                  <from>
                    <xdr:col>10</xdr:col>
                    <xdr:colOff>241300</xdr:colOff>
                    <xdr:row>0</xdr:row>
                    <xdr:rowOff>50800</xdr:rowOff>
                  </from>
                  <to>
                    <xdr:col>12</xdr:col>
                    <xdr:colOff>444500</xdr:colOff>
                    <xdr:row>1</xdr:row>
                    <xdr:rowOff>266700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 enableFormatConditionsCalculation="0">
    <tabColor theme="5" tint="-0.249977111117893"/>
    <pageSetUpPr fitToPage="1"/>
  </sheetPr>
  <dimension ref="B1:AA29"/>
  <sheetViews>
    <sheetView showGridLines="0" showRowColHeaders="0" zoomScale="95" zoomScaleNormal="95" zoomScalePageLayoutView="95" workbookViewId="0">
      <selection activeCell="C6" sqref="C6"/>
    </sheetView>
  </sheetViews>
  <sheetFormatPr baseColWidth="10" defaultRowHeight="12" x14ac:dyDescent="0"/>
  <cols>
    <col min="1" max="1" width="3.5" style="660" customWidth="1"/>
    <col min="2" max="17" width="11.33203125" style="660" customWidth="1"/>
    <col min="18" max="18" width="9.6640625" style="660" customWidth="1"/>
    <col min="19" max="16384" width="10.83203125" style="660"/>
  </cols>
  <sheetData>
    <row r="1" spans="2:27" s="99" customFormat="1" ht="5.25" customHeight="1"/>
    <row r="2" spans="2:27" s="99" customFormat="1" ht="24" customHeight="1"/>
    <row r="3" spans="2:27" s="99" customFormat="1" ht="3.75" customHeight="1">
      <c r="Y3" s="14"/>
      <c r="Z3" s="14"/>
      <c r="AA3" s="14"/>
    </row>
    <row r="4" spans="2:27" ht="13" thickBot="1">
      <c r="P4" s="661"/>
      <c r="Q4" s="661"/>
    </row>
    <row r="5" spans="2:27" ht="25" thickBot="1">
      <c r="C5" s="662" t="s">
        <v>506</v>
      </c>
      <c r="F5" s="662" t="s">
        <v>583</v>
      </c>
      <c r="I5" s="662" t="s">
        <v>584</v>
      </c>
      <c r="M5" s="662" t="s">
        <v>585</v>
      </c>
      <c r="P5" s="662" t="s">
        <v>586</v>
      </c>
    </row>
    <row r="6" spans="2:27" ht="13" thickBot="1">
      <c r="C6" s="329">
        <v>12.2</v>
      </c>
      <c r="F6" s="329">
        <v>12</v>
      </c>
      <c r="I6" s="329">
        <v>11.6</v>
      </c>
      <c r="M6" s="329">
        <v>11.6</v>
      </c>
      <c r="P6" s="329">
        <v>11.4</v>
      </c>
    </row>
    <row r="7" spans="2:27">
      <c r="C7" s="664" t="s">
        <v>593</v>
      </c>
      <c r="F7" s="664" t="s">
        <v>592</v>
      </c>
      <c r="I7" s="664" t="s">
        <v>592</v>
      </c>
      <c r="M7" s="664" t="s">
        <v>594</v>
      </c>
      <c r="P7" s="664" t="s">
        <v>594</v>
      </c>
    </row>
    <row r="8" spans="2:27">
      <c r="B8" s="663"/>
      <c r="E8" s="663"/>
      <c r="H8" s="663"/>
      <c r="K8" s="663"/>
      <c r="P8" s="663"/>
      <c r="Q8" s="661"/>
    </row>
    <row r="9" spans="2:27">
      <c r="B9" s="663"/>
      <c r="E9" s="663"/>
      <c r="H9" s="663"/>
      <c r="K9" s="663"/>
      <c r="P9" s="663"/>
      <c r="Q9" s="661"/>
    </row>
    <row r="10" spans="2:27">
      <c r="B10" s="663"/>
      <c r="E10" s="663"/>
      <c r="H10" s="663"/>
      <c r="K10" s="663"/>
      <c r="P10" s="663"/>
      <c r="Q10" s="661"/>
    </row>
    <row r="11" spans="2:27">
      <c r="B11" s="663"/>
      <c r="E11" s="663"/>
      <c r="H11" s="663"/>
      <c r="K11" s="663"/>
      <c r="P11" s="663"/>
      <c r="Q11" s="661"/>
    </row>
    <row r="12" spans="2:27">
      <c r="B12" s="663"/>
      <c r="E12" s="663"/>
      <c r="H12" s="663"/>
      <c r="K12" s="663"/>
      <c r="P12" s="663"/>
      <c r="Q12" s="661"/>
    </row>
    <row r="13" spans="2:27" ht="24.75" customHeight="1">
      <c r="B13" s="1868" t="s">
        <v>640</v>
      </c>
      <c r="C13" s="1869"/>
      <c r="D13" s="1869"/>
      <c r="E13" s="1869"/>
      <c r="F13" s="1869"/>
      <c r="G13" s="1869"/>
      <c r="H13" s="1869"/>
      <c r="I13" s="1869"/>
      <c r="J13" s="1869"/>
      <c r="K13" s="1869"/>
      <c r="L13" s="1869"/>
      <c r="M13" s="1869"/>
      <c r="N13" s="1869"/>
      <c r="O13" s="1869"/>
      <c r="P13" s="1869"/>
      <c r="Q13" s="1869"/>
    </row>
    <row r="14" spans="2:27" ht="13" thickBot="1"/>
    <row r="15" spans="2:27" ht="36">
      <c r="B15" s="696" t="s">
        <v>492</v>
      </c>
      <c r="C15" s="697" t="s">
        <v>486</v>
      </c>
      <c r="D15" s="697" t="s">
        <v>82</v>
      </c>
      <c r="E15" s="697" t="s">
        <v>488</v>
      </c>
      <c r="F15" s="697" t="s">
        <v>82</v>
      </c>
      <c r="G15" s="697" t="s">
        <v>493</v>
      </c>
      <c r="H15" s="697" t="s">
        <v>494</v>
      </c>
      <c r="I15" s="697" t="s">
        <v>497</v>
      </c>
      <c r="J15" s="697" t="s">
        <v>498</v>
      </c>
      <c r="K15" s="697" t="s">
        <v>488</v>
      </c>
      <c r="L15" s="697" t="s">
        <v>511</v>
      </c>
      <c r="M15" s="697" t="s">
        <v>564</v>
      </c>
      <c r="N15" s="697" t="s">
        <v>595</v>
      </c>
      <c r="O15" s="697" t="s">
        <v>491</v>
      </c>
      <c r="P15" s="697" t="s">
        <v>568</v>
      </c>
      <c r="Q15" s="698" t="s">
        <v>569</v>
      </c>
    </row>
    <row r="16" spans="2:27" ht="24">
      <c r="B16" s="665" t="s">
        <v>257</v>
      </c>
      <c r="C16" s="666" t="s">
        <v>456</v>
      </c>
      <c r="D16" s="666" t="s">
        <v>487</v>
      </c>
      <c r="E16" s="666" t="s">
        <v>456</v>
      </c>
      <c r="F16" s="666" t="s">
        <v>495</v>
      </c>
      <c r="G16" s="666" t="s">
        <v>29</v>
      </c>
      <c r="H16" s="666" t="s">
        <v>489</v>
      </c>
      <c r="I16" s="666" t="s">
        <v>496</v>
      </c>
      <c r="J16" s="666" t="s">
        <v>499</v>
      </c>
      <c r="K16" s="666" t="s">
        <v>490</v>
      </c>
      <c r="L16" s="666" t="s">
        <v>490</v>
      </c>
      <c r="M16" s="667" t="s">
        <v>457</v>
      </c>
      <c r="N16" s="667" t="s">
        <v>457</v>
      </c>
      <c r="O16" s="666" t="s">
        <v>490</v>
      </c>
      <c r="P16" s="666" t="s">
        <v>490</v>
      </c>
      <c r="Q16" s="668" t="s">
        <v>490</v>
      </c>
    </row>
    <row r="17" spans="2:17" ht="15" customHeight="1">
      <c r="B17" s="1870" t="s">
        <v>576</v>
      </c>
      <c r="C17" s="1871"/>
      <c r="D17" s="1871"/>
      <c r="E17" s="1871"/>
      <c r="F17" s="1871"/>
      <c r="G17" s="1871"/>
      <c r="H17" s="1871"/>
      <c r="I17" s="1871"/>
      <c r="J17" s="1871"/>
      <c r="K17" s="1871"/>
      <c r="L17" s="1880"/>
      <c r="M17" s="1871"/>
      <c r="N17" s="1871"/>
      <c r="O17" s="1871"/>
      <c r="P17" s="1871"/>
      <c r="Q17" s="1872"/>
    </row>
    <row r="18" spans="2:17" ht="15" customHeight="1" thickBot="1">
      <c r="B18" s="706" t="s">
        <v>578</v>
      </c>
      <c r="C18" s="575">
        <v>700</v>
      </c>
      <c r="D18" s="670">
        <f>21*C18/700</f>
        <v>21</v>
      </c>
      <c r="E18" s="671">
        <f>14.8*C18/700</f>
        <v>14.8</v>
      </c>
      <c r="F18" s="671">
        <f>C6</f>
        <v>12.2</v>
      </c>
      <c r="G18" s="708" t="s">
        <v>587</v>
      </c>
      <c r="H18" s="671">
        <f>D18/F18</f>
        <v>1.7213114754098362</v>
      </c>
      <c r="I18" s="671">
        <f>32/(C18/1000)*H18</f>
        <v>78.688524590163937</v>
      </c>
      <c r="J18" s="671">
        <f>H18/(C18/1000)</f>
        <v>2.4590163934426235</v>
      </c>
      <c r="K18" s="699">
        <f>E18/H18</f>
        <v>8.5980952380952385</v>
      </c>
      <c r="L18" s="671">
        <f>K18/0.88</f>
        <v>9.7705627705627709</v>
      </c>
      <c r="M18" s="701">
        <f>L18/F18</f>
        <v>0.80086580086580095</v>
      </c>
      <c r="N18" s="711">
        <f>K18/F18</f>
        <v>0.70476190476190481</v>
      </c>
      <c r="O18" s="699">
        <f>12.5/H18*C6/13</f>
        <v>6.815018315018313</v>
      </c>
      <c r="P18" s="671">
        <f>O18/1.28</f>
        <v>5.3242330586080566</v>
      </c>
      <c r="Q18" s="703">
        <f>O18/2.33</f>
        <v>2.9249005643855419</v>
      </c>
    </row>
    <row r="19" spans="2:17" ht="15" customHeight="1" thickBot="1">
      <c r="B19" s="706" t="s">
        <v>579</v>
      </c>
      <c r="C19" s="576">
        <v>850</v>
      </c>
      <c r="D19" s="674">
        <f>27*C19/850</f>
        <v>27</v>
      </c>
      <c r="E19" s="675">
        <f>18.4*C19/850</f>
        <v>18.399999999999999</v>
      </c>
      <c r="F19" s="675">
        <f>F6</f>
        <v>12</v>
      </c>
      <c r="G19" s="709" t="s">
        <v>588</v>
      </c>
      <c r="H19" s="675">
        <f>D19/F19</f>
        <v>2.25</v>
      </c>
      <c r="I19" s="675">
        <f>30/(C19/1000)*H19</f>
        <v>79.411764705882362</v>
      </c>
      <c r="J19" s="675">
        <f>H19/(C19/1000)</f>
        <v>2.6470588235294117</v>
      </c>
      <c r="K19" s="677">
        <f>E19/H19</f>
        <v>8.1777777777777771</v>
      </c>
      <c r="L19" s="675">
        <f>K19/0.87</f>
        <v>9.3997445721583652</v>
      </c>
      <c r="M19" s="702">
        <f>L19/F19</f>
        <v>0.78331204767986373</v>
      </c>
      <c r="N19" s="678">
        <f>K19/F19</f>
        <v>0.68148148148148147</v>
      </c>
      <c r="O19" s="685">
        <f>16.5/H19*F6/13</f>
        <v>6.7692307692307692</v>
      </c>
      <c r="P19" s="675">
        <f>O19/1.28</f>
        <v>5.2884615384615383</v>
      </c>
      <c r="Q19" s="704">
        <f>O19/2.5</f>
        <v>2.7076923076923078</v>
      </c>
    </row>
    <row r="20" spans="2:17" ht="15" customHeight="1">
      <c r="B20" s="706" t="s">
        <v>580</v>
      </c>
      <c r="C20" s="574">
        <v>750</v>
      </c>
      <c r="D20" s="681">
        <f>31*C20/750</f>
        <v>31</v>
      </c>
      <c r="E20" s="682">
        <f>20.1*C20/750</f>
        <v>20.100000000000001</v>
      </c>
      <c r="F20" s="682">
        <f>I6</f>
        <v>11.6</v>
      </c>
      <c r="G20" s="710" t="s">
        <v>589</v>
      </c>
      <c r="H20" s="682">
        <f>D20/F20</f>
        <v>2.6724137931034484</v>
      </c>
      <c r="I20" s="682">
        <f>30/(C20/1000)*H20</f>
        <v>106.89655172413794</v>
      </c>
      <c r="J20" s="682">
        <f>H20/(C20/1000)</f>
        <v>3.563218390804598</v>
      </c>
      <c r="K20" s="700">
        <f>E20/H20</f>
        <v>7.5212903225806453</v>
      </c>
      <c r="L20" s="682">
        <f>K20/0.86</f>
        <v>8.7456864216054022</v>
      </c>
      <c r="M20" s="702">
        <f>L20/F20</f>
        <v>0.75393848462115542</v>
      </c>
      <c r="N20" s="678">
        <f>K20/F20</f>
        <v>0.64838709677419359</v>
      </c>
      <c r="O20" s="700">
        <f>18/H20*I6/13</f>
        <v>6.0101240694789073</v>
      </c>
      <c r="P20" s="682">
        <f>O20/1.28</f>
        <v>4.6954094292803958</v>
      </c>
      <c r="Q20" s="705">
        <f>O20/2.2</f>
        <v>2.7318745770358666</v>
      </c>
    </row>
    <row r="21" spans="2:17" ht="15" customHeight="1">
      <c r="B21" s="1873" t="s">
        <v>577</v>
      </c>
      <c r="C21" s="1871"/>
      <c r="D21" s="1871"/>
      <c r="E21" s="1871"/>
      <c r="F21" s="1871"/>
      <c r="G21" s="1871"/>
      <c r="H21" s="1871"/>
      <c r="I21" s="1871"/>
      <c r="J21" s="1871"/>
      <c r="K21" s="1871"/>
      <c r="L21" s="1881"/>
      <c r="M21" s="1871"/>
      <c r="N21" s="1871"/>
      <c r="O21" s="1871"/>
      <c r="P21" s="1871"/>
      <c r="Q21" s="1872"/>
    </row>
    <row r="22" spans="2:17" ht="15" customHeight="1" thickBot="1">
      <c r="B22" s="707" t="s">
        <v>581</v>
      </c>
      <c r="C22" s="577">
        <v>400</v>
      </c>
      <c r="D22" s="684">
        <f>30*C22/400</f>
        <v>30</v>
      </c>
      <c r="E22" s="671">
        <f>18*C22/400</f>
        <v>18</v>
      </c>
      <c r="F22" s="671">
        <f>M6</f>
        <v>11.6</v>
      </c>
      <c r="G22" s="708" t="s">
        <v>598</v>
      </c>
      <c r="H22" s="671">
        <f>D22/F22</f>
        <v>2.5862068965517242</v>
      </c>
      <c r="I22" s="671">
        <f>60/(C22/1000)*H22</f>
        <v>387.93103448275861</v>
      </c>
      <c r="J22" s="671">
        <f>H22/(C22/1000)</f>
        <v>6.4655172413793105</v>
      </c>
      <c r="K22" s="671">
        <f>E22/H22</f>
        <v>6.96</v>
      </c>
      <c r="L22" s="675">
        <f>K22/0.85</f>
        <v>8.1882352941176464</v>
      </c>
      <c r="M22" s="678">
        <f>L22/F22</f>
        <v>0.70588235294117641</v>
      </c>
      <c r="N22" s="678">
        <f>K22/F22</f>
        <v>0.6</v>
      </c>
      <c r="O22" s="671">
        <f>21/H22*M6/13</f>
        <v>7.2455384615384606</v>
      </c>
      <c r="P22" s="671">
        <f>O22/1.28</f>
        <v>5.6605769230769223</v>
      </c>
      <c r="Q22" s="673">
        <f>O22/2.75</f>
        <v>2.6347412587412582</v>
      </c>
    </row>
    <row r="23" spans="2:17" ht="15" customHeight="1" thickBot="1">
      <c r="B23" s="706" t="s">
        <v>582</v>
      </c>
      <c r="C23" s="576">
        <v>200</v>
      </c>
      <c r="D23" s="685">
        <f>30*C23/200</f>
        <v>30</v>
      </c>
      <c r="E23" s="675">
        <f>16*C23/200</f>
        <v>16</v>
      </c>
      <c r="F23" s="685">
        <f>P6</f>
        <v>11.4</v>
      </c>
      <c r="G23" s="910" t="s">
        <v>1023</v>
      </c>
      <c r="H23" s="679">
        <f>D23/F23</f>
        <v>2.6315789473684208</v>
      </c>
      <c r="I23" s="675"/>
      <c r="J23" s="675"/>
      <c r="K23" s="677">
        <f>E23/H23</f>
        <v>6.080000000000001</v>
      </c>
      <c r="L23" s="675">
        <f>K23/0.85</f>
        <v>7.1529411764705895</v>
      </c>
      <c r="M23" s="702">
        <f>L23/F23</f>
        <v>0.62745098039215697</v>
      </c>
      <c r="N23" s="678">
        <f>K23/F23</f>
        <v>0.53333333333333344</v>
      </c>
      <c r="O23" s="675">
        <f>21/H23*P6/13</f>
        <v>6.9978461538461545</v>
      </c>
      <c r="P23" s="675">
        <f>O23/1.28</f>
        <v>5.4670673076923082</v>
      </c>
      <c r="Q23" s="680">
        <f>O23/2.75</f>
        <v>2.5446713286713289</v>
      </c>
    </row>
    <row r="24" spans="2:17" ht="15" customHeight="1">
      <c r="B24" s="686"/>
      <c r="C24" s="687"/>
      <c r="D24" s="688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  <c r="Q24" s="689"/>
    </row>
    <row r="25" spans="2:17" s="692" customFormat="1" ht="15" customHeight="1" thickBot="1">
      <c r="B25" s="1874" t="s">
        <v>591</v>
      </c>
      <c r="C25" s="1875"/>
      <c r="D25" s="1875"/>
      <c r="E25" s="1875"/>
      <c r="F25" s="1875"/>
      <c r="G25" s="1875"/>
      <c r="H25" s="1876"/>
      <c r="I25" s="690">
        <f>SUM(I22:I24,I18:I20)</f>
        <v>652.92787550294281</v>
      </c>
      <c r="J25" s="691">
        <f>I25/152</f>
        <v>4.2955781283088346</v>
      </c>
      <c r="K25" s="1877"/>
      <c r="L25" s="1875"/>
      <c r="M25" s="1875"/>
      <c r="N25" s="1875"/>
      <c r="O25" s="1875"/>
      <c r="P25" s="1875"/>
      <c r="Q25" s="1878"/>
    </row>
    <row r="26" spans="2:17" ht="15" customHeight="1">
      <c r="B26" s="693"/>
      <c r="C26" s="694"/>
      <c r="D26" s="694"/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5"/>
    </row>
    <row r="27" spans="2:17" ht="15" customHeight="1" thickBot="1">
      <c r="B27" s="1879" t="s">
        <v>590</v>
      </c>
      <c r="C27" s="1866"/>
      <c r="D27" s="1866"/>
      <c r="E27" s="1866"/>
      <c r="F27" s="1866"/>
      <c r="G27" s="1866"/>
      <c r="H27" s="1866"/>
      <c r="I27" s="1866"/>
      <c r="J27" s="1866"/>
      <c r="K27" s="1866"/>
      <c r="L27" s="1866"/>
      <c r="M27" s="1866"/>
      <c r="N27" s="1866"/>
      <c r="O27" s="1866"/>
      <c r="P27" s="1866"/>
      <c r="Q27" s="1867"/>
    </row>
    <row r="28" spans="2:17" ht="15" customHeight="1"/>
    <row r="29" spans="2:17" ht="15" customHeight="1"/>
  </sheetData>
  <sheetProtection sheet="1" objects="1" scenarios="1" selectLockedCells="1"/>
  <mergeCells count="6">
    <mergeCell ref="B27:Q27"/>
    <mergeCell ref="B13:Q13"/>
    <mergeCell ref="B17:Q17"/>
    <mergeCell ref="B21:Q21"/>
    <mergeCell ref="B25:H25"/>
    <mergeCell ref="K25:Q25"/>
  </mergeCells>
  <printOptions horizontalCentered="1" verticalCentered="1"/>
  <pageMargins left="0.31496062992125984" right="0.31496062992125984" top="0.78740157480314965" bottom="0.78740157480314965" header="0.31496062992125984" footer="0.31496062992125984"/>
  <pageSetup paperSize="9" scale="78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76" r:id="rId3" name="Button 8">
              <controlPr defaultSize="0" print="0" autoFill="0" autoPict="0" macro="[0]!Startseite">
                <anchor moveWithCells="1">
                  <from>
                    <xdr:col>4</xdr:col>
                    <xdr:colOff>254000</xdr:colOff>
                    <xdr:row>1</xdr:row>
                    <xdr:rowOff>0</xdr:rowOff>
                  </from>
                  <to>
                    <xdr:col>6</xdr:col>
                    <xdr:colOff>444500</xdr:colOff>
                    <xdr:row>1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3977" r:id="rId4" name="Button 9">
              <controlPr defaultSize="0" print="0" autoFill="0" autoPict="0" macro="[0]!Futterberechnung">
                <anchor moveWithCells="1">
                  <from>
                    <xdr:col>7</xdr:col>
                    <xdr:colOff>622300</xdr:colOff>
                    <xdr:row>1</xdr:row>
                    <xdr:rowOff>0</xdr:rowOff>
                  </from>
                  <to>
                    <xdr:col>10</xdr:col>
                    <xdr:colOff>63500</xdr:colOff>
                    <xdr:row>1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3978" r:id="rId5" name="Button 10">
              <controlPr defaultSize="0" print="0" autoFill="0" autoPict="0" macro="[0]!FuMi_Liste">
                <anchor moveWithCells="1">
                  <from>
                    <xdr:col>11</xdr:col>
                    <xdr:colOff>190500</xdr:colOff>
                    <xdr:row>0</xdr:row>
                    <xdr:rowOff>50800</xdr:rowOff>
                  </from>
                  <to>
                    <xdr:col>13</xdr:col>
                    <xdr:colOff>393700</xdr:colOff>
                    <xdr:row>1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 enableFormatConditionsCalculation="0">
    <tabColor indexed="60"/>
    <pageSetUpPr fitToPage="1"/>
  </sheetPr>
  <dimension ref="A1:AA161"/>
  <sheetViews>
    <sheetView showGridLines="0" showRowColHeaders="0" zoomScale="235" zoomScaleNormal="235" zoomScalePageLayoutView="235" workbookViewId="0">
      <selection activeCell="E131" sqref="E131"/>
    </sheetView>
  </sheetViews>
  <sheetFormatPr baseColWidth="10" defaultRowHeight="12" x14ac:dyDescent="0"/>
  <cols>
    <col min="1" max="1" width="2.6640625" style="1477" customWidth="1"/>
    <col min="2" max="2" width="7.5" style="1477" customWidth="1"/>
    <col min="3" max="3" width="14.1640625" style="1477" customWidth="1"/>
    <col min="4" max="4" width="3.6640625" style="1477" customWidth="1"/>
    <col min="5" max="9" width="11.1640625" style="1477" customWidth="1"/>
    <col min="10" max="10" width="2.6640625" style="1477" customWidth="1"/>
    <col min="11" max="16384" width="10.83203125" style="1477"/>
  </cols>
  <sheetData>
    <row r="1" spans="1:27" s="1572" customFormat="1" ht="5.25" customHeight="1"/>
    <row r="2" spans="1:27" s="1572" customFormat="1" ht="24" customHeight="1"/>
    <row r="3" spans="1:27" s="1572" customFormat="1" ht="12" customHeight="1"/>
    <row r="4" spans="1:27" s="1572" customFormat="1" ht="5" customHeight="1">
      <c r="A4" s="1477"/>
      <c r="B4" s="1477"/>
      <c r="C4" s="1477"/>
      <c r="D4" s="1477"/>
      <c r="E4" s="1477"/>
      <c r="F4" s="1477"/>
      <c r="G4" s="1477"/>
      <c r="H4" s="1477"/>
      <c r="I4" s="1477"/>
      <c r="J4" s="1477"/>
      <c r="Y4" s="1477"/>
      <c r="Z4" s="1477"/>
      <c r="AA4" s="1477"/>
    </row>
    <row r="5" spans="1:27" s="1573" customFormat="1" ht="12" customHeight="1">
      <c r="A5" s="1888" t="s">
        <v>873</v>
      </c>
      <c r="B5" s="1888"/>
      <c r="C5" s="1889"/>
      <c r="D5" s="1889"/>
      <c r="E5" s="1889"/>
      <c r="F5" s="1889"/>
      <c r="G5" s="1889"/>
      <c r="H5" s="1889"/>
      <c r="I5" s="1889"/>
      <c r="J5" s="1889"/>
    </row>
    <row r="6" spans="1:27" ht="5" customHeight="1">
      <c r="C6" s="1478"/>
    </row>
    <row r="7" spans="1:27" ht="12" customHeight="1">
      <c r="B7" s="1479" t="s">
        <v>874</v>
      </c>
      <c r="C7" s="1890" t="s">
        <v>370</v>
      </c>
      <c r="D7" s="1891"/>
      <c r="E7" s="1480" t="s">
        <v>371</v>
      </c>
      <c r="F7" s="1892" t="s">
        <v>161</v>
      </c>
      <c r="G7" s="1893"/>
      <c r="H7" s="1892" t="s">
        <v>163</v>
      </c>
      <c r="I7" s="1893"/>
    </row>
    <row r="8" spans="1:27" ht="12" customHeight="1">
      <c r="B8" s="1481"/>
      <c r="C8" s="1894"/>
      <c r="D8" s="1895"/>
      <c r="E8" s="1482" t="s">
        <v>372</v>
      </c>
      <c r="F8" s="1483"/>
      <c r="G8" s="1483"/>
      <c r="H8" s="1483"/>
      <c r="I8" s="1483"/>
    </row>
    <row r="9" spans="1:27" ht="12" customHeight="1">
      <c r="B9" s="1484"/>
      <c r="C9" s="1896"/>
      <c r="D9" s="1897"/>
      <c r="E9" s="1485" t="s">
        <v>443</v>
      </c>
      <c r="F9" s="1486"/>
      <c r="G9" s="1487"/>
      <c r="H9" s="1487"/>
      <c r="I9" s="1487"/>
    </row>
    <row r="10" spans="1:27" ht="11" customHeight="1">
      <c r="B10" s="1488"/>
      <c r="C10" s="1898"/>
      <c r="D10" s="1899"/>
      <c r="E10" s="1489" t="s">
        <v>403</v>
      </c>
      <c r="F10" s="1490" t="s">
        <v>399</v>
      </c>
      <c r="G10" s="1490" t="s">
        <v>400</v>
      </c>
      <c r="H10" s="1490" t="s">
        <v>401</v>
      </c>
      <c r="I10" s="1490" t="s">
        <v>94</v>
      </c>
    </row>
    <row r="11" spans="1:27" ht="11" customHeight="1">
      <c r="B11" s="1574" t="s">
        <v>875</v>
      </c>
      <c r="C11" s="1575" t="s">
        <v>876</v>
      </c>
      <c r="D11" s="1492" t="s">
        <v>373</v>
      </c>
      <c r="E11" s="1492" t="s">
        <v>402</v>
      </c>
      <c r="F11" s="1492">
        <v>4000</v>
      </c>
      <c r="G11" s="1492">
        <v>4000</v>
      </c>
      <c r="H11" s="1492">
        <v>2200</v>
      </c>
      <c r="I11" s="1492">
        <v>2200</v>
      </c>
    </row>
    <row r="12" spans="1:27" ht="11" customHeight="1">
      <c r="B12" s="1576" t="s">
        <v>877</v>
      </c>
      <c r="C12" s="1577"/>
      <c r="D12" s="1493"/>
      <c r="E12" s="1493" t="s">
        <v>878</v>
      </c>
      <c r="F12" s="1493">
        <v>10000</v>
      </c>
      <c r="G12" s="1493" t="s">
        <v>879</v>
      </c>
      <c r="H12" s="1578">
        <v>7000</v>
      </c>
      <c r="I12" s="1493">
        <v>5000</v>
      </c>
    </row>
    <row r="13" spans="1:27" ht="10" customHeight="1">
      <c r="B13" s="1576" t="s">
        <v>1077</v>
      </c>
      <c r="C13" s="1577"/>
      <c r="D13" s="1493"/>
      <c r="E13" s="1493" t="s">
        <v>882</v>
      </c>
      <c r="F13" s="1493" t="s">
        <v>28</v>
      </c>
      <c r="G13" s="1493" t="s">
        <v>1078</v>
      </c>
      <c r="H13" s="1579">
        <v>6000</v>
      </c>
      <c r="I13" s="1493">
        <v>5000</v>
      </c>
    </row>
    <row r="14" spans="1:27" ht="10" customHeight="1">
      <c r="B14" s="1576" t="s">
        <v>1045</v>
      </c>
      <c r="C14" s="1577"/>
      <c r="D14" s="1493"/>
      <c r="E14" s="1493" t="s">
        <v>1061</v>
      </c>
      <c r="F14" s="1493" t="s">
        <v>28</v>
      </c>
      <c r="G14" s="1493" t="s">
        <v>1046</v>
      </c>
      <c r="H14" s="1578" t="s">
        <v>882</v>
      </c>
      <c r="I14" s="1578" t="s">
        <v>883</v>
      </c>
    </row>
    <row r="15" spans="1:27" ht="10" customHeight="1">
      <c r="B15" s="1576" t="s">
        <v>880</v>
      </c>
      <c r="C15" s="1577"/>
      <c r="D15" s="1493"/>
      <c r="E15" s="1493">
        <v>8800</v>
      </c>
      <c r="F15" s="1493">
        <v>6600</v>
      </c>
      <c r="G15" s="1493">
        <v>6600</v>
      </c>
      <c r="H15" s="1493">
        <v>5500</v>
      </c>
      <c r="I15" s="1493">
        <v>4400</v>
      </c>
    </row>
    <row r="16" spans="1:27" ht="10" customHeight="1">
      <c r="B16" s="1576" t="s">
        <v>881</v>
      </c>
      <c r="C16" s="1577"/>
      <c r="D16" s="1493"/>
      <c r="E16" s="1493" t="s">
        <v>1062</v>
      </c>
      <c r="F16" s="1493" t="s">
        <v>1063</v>
      </c>
      <c r="G16" s="1493" t="s">
        <v>1064</v>
      </c>
      <c r="H16" s="1578" t="s">
        <v>882</v>
      </c>
      <c r="I16" s="1578" t="s">
        <v>883</v>
      </c>
    </row>
    <row r="17" spans="1:10" ht="10" customHeight="1">
      <c r="B17" s="1580"/>
      <c r="C17" s="1581" t="s">
        <v>884</v>
      </c>
      <c r="D17" s="1582"/>
      <c r="E17" s="1582" t="s">
        <v>1065</v>
      </c>
      <c r="F17" s="1582" t="s">
        <v>1066</v>
      </c>
      <c r="G17" s="1582" t="s">
        <v>1066</v>
      </c>
      <c r="H17" s="1582" t="s">
        <v>1067</v>
      </c>
      <c r="I17" s="1582" t="s">
        <v>1067</v>
      </c>
    </row>
    <row r="18" spans="1:10" ht="10" customHeight="1">
      <c r="B18" s="1574" t="s">
        <v>875</v>
      </c>
      <c r="C18" s="1575" t="s">
        <v>885</v>
      </c>
      <c r="D18" s="1492" t="s">
        <v>373</v>
      </c>
      <c r="E18" s="1492">
        <v>200</v>
      </c>
      <c r="F18" s="1492">
        <v>500</v>
      </c>
      <c r="G18" s="1492">
        <v>500</v>
      </c>
      <c r="H18" s="1492" t="s">
        <v>374</v>
      </c>
      <c r="I18" s="1492" t="s">
        <v>375</v>
      </c>
    </row>
    <row r="19" spans="1:10" ht="10" customHeight="1">
      <c r="B19" s="1576" t="s">
        <v>877</v>
      </c>
      <c r="C19" s="1577"/>
      <c r="D19" s="1493"/>
      <c r="E19" s="1493">
        <v>500</v>
      </c>
      <c r="F19" s="1493">
        <v>1000</v>
      </c>
      <c r="G19" s="1493" t="s">
        <v>886</v>
      </c>
      <c r="H19" s="1493">
        <v>500</v>
      </c>
      <c r="I19" s="1493">
        <v>300</v>
      </c>
    </row>
    <row r="20" spans="1:10" ht="10" customHeight="1">
      <c r="B20" s="1583" t="s">
        <v>1077</v>
      </c>
      <c r="C20" s="1584"/>
      <c r="D20" s="1579"/>
      <c r="E20" s="1579" t="s">
        <v>889</v>
      </c>
      <c r="F20" s="1579" t="s">
        <v>28</v>
      </c>
      <c r="G20" s="1579" t="s">
        <v>889</v>
      </c>
      <c r="H20" s="1579" t="s">
        <v>889</v>
      </c>
      <c r="I20" s="1579" t="s">
        <v>1079</v>
      </c>
    </row>
    <row r="21" spans="1:10" ht="10" customHeight="1">
      <c r="B21" s="1583" t="s">
        <v>1045</v>
      </c>
      <c r="C21" s="1584"/>
      <c r="D21" s="1579"/>
      <c r="E21" s="1579" t="s">
        <v>887</v>
      </c>
      <c r="F21" s="1579" t="s">
        <v>28</v>
      </c>
      <c r="G21" s="1579" t="s">
        <v>887</v>
      </c>
      <c r="H21" s="1579" t="s">
        <v>887</v>
      </c>
      <c r="I21" s="1579" t="s">
        <v>889</v>
      </c>
    </row>
    <row r="22" spans="1:10" ht="10" customHeight="1">
      <c r="B22" s="1583" t="s">
        <v>880</v>
      </c>
      <c r="C22" s="1584"/>
      <c r="D22" s="1579"/>
      <c r="E22" s="1579">
        <v>660</v>
      </c>
      <c r="F22" s="1579">
        <v>660</v>
      </c>
      <c r="G22" s="1579">
        <v>660</v>
      </c>
      <c r="H22" s="1579">
        <v>550</v>
      </c>
      <c r="I22" s="1579">
        <v>440</v>
      </c>
    </row>
    <row r="23" spans="1:10" ht="10" customHeight="1">
      <c r="B23" s="1583" t="s">
        <v>881</v>
      </c>
      <c r="C23" s="1584"/>
      <c r="D23" s="1579"/>
      <c r="E23" s="1579" t="s">
        <v>887</v>
      </c>
      <c r="F23" s="1579" t="s">
        <v>888</v>
      </c>
      <c r="G23" s="1579" t="s">
        <v>887</v>
      </c>
      <c r="H23" s="1579" t="s">
        <v>887</v>
      </c>
      <c r="I23" s="1579" t="s">
        <v>889</v>
      </c>
    </row>
    <row r="24" spans="1:10" ht="11" customHeight="1">
      <c r="B24" s="1585"/>
      <c r="C24" s="1586" t="s">
        <v>884</v>
      </c>
      <c r="D24" s="1587"/>
      <c r="E24" s="1587" t="s">
        <v>890</v>
      </c>
      <c r="F24" s="1587" t="s">
        <v>891</v>
      </c>
      <c r="G24" s="1587" t="s">
        <v>891</v>
      </c>
      <c r="H24" s="1587" t="s">
        <v>890</v>
      </c>
      <c r="I24" s="1587" t="s">
        <v>890</v>
      </c>
    </row>
    <row r="25" spans="1:10" ht="10" customHeight="1">
      <c r="B25" s="1588" t="s">
        <v>875</v>
      </c>
      <c r="C25" s="1589" t="s">
        <v>376</v>
      </c>
      <c r="D25" s="1590" t="s">
        <v>373</v>
      </c>
      <c r="E25" s="1590" t="s">
        <v>1080</v>
      </c>
      <c r="F25" s="1590">
        <v>15</v>
      </c>
      <c r="G25" s="1590">
        <v>15</v>
      </c>
      <c r="H25" s="1590">
        <v>15</v>
      </c>
      <c r="I25" s="1590">
        <v>15</v>
      </c>
    </row>
    <row r="26" spans="1:10" s="1591" customFormat="1" ht="10" customHeight="1">
      <c r="A26" s="1477"/>
      <c r="B26" s="1583"/>
      <c r="C26" s="1584"/>
      <c r="D26" s="1579"/>
      <c r="E26" s="1579"/>
      <c r="F26" s="1579" t="s">
        <v>1081</v>
      </c>
      <c r="G26" s="1579"/>
      <c r="H26" s="1579"/>
      <c r="I26" s="1579" t="s">
        <v>1082</v>
      </c>
      <c r="J26" s="1477"/>
    </row>
    <row r="27" spans="1:10" ht="10" customHeight="1">
      <c r="B27" s="1583" t="s">
        <v>877</v>
      </c>
      <c r="C27" s="1584"/>
      <c r="D27" s="1579"/>
      <c r="E27" s="1579" t="s">
        <v>892</v>
      </c>
      <c r="F27" s="1579" t="s">
        <v>892</v>
      </c>
      <c r="G27" s="1579" t="s">
        <v>892</v>
      </c>
      <c r="H27" s="1579" t="s">
        <v>893</v>
      </c>
      <c r="I27" s="1579" t="s">
        <v>893</v>
      </c>
    </row>
    <row r="28" spans="1:10" ht="10" customHeight="1">
      <c r="B28" s="1583" t="s">
        <v>1077</v>
      </c>
      <c r="C28" s="1584"/>
      <c r="D28" s="1579"/>
      <c r="E28" s="1592" t="s">
        <v>439</v>
      </c>
      <c r="F28" s="1579" t="s">
        <v>28</v>
      </c>
      <c r="G28" s="1592" t="s">
        <v>1047</v>
      </c>
      <c r="H28" s="1579" t="s">
        <v>439</v>
      </c>
      <c r="I28" s="1593" t="s">
        <v>1083</v>
      </c>
    </row>
    <row r="29" spans="1:10" ht="11" customHeight="1">
      <c r="B29" s="1583" t="s">
        <v>1045</v>
      </c>
      <c r="C29" s="1584"/>
      <c r="D29" s="1592"/>
      <c r="E29" s="1592" t="s">
        <v>439</v>
      </c>
      <c r="F29" s="1592" t="s">
        <v>28</v>
      </c>
      <c r="G29" s="1592" t="s">
        <v>1047</v>
      </c>
      <c r="H29" s="1579" t="s">
        <v>439</v>
      </c>
      <c r="I29" s="1593" t="s">
        <v>1048</v>
      </c>
    </row>
    <row r="30" spans="1:10" ht="11" customHeight="1">
      <c r="B30" s="1583" t="s">
        <v>880</v>
      </c>
      <c r="C30" s="1584"/>
      <c r="D30" s="1592"/>
      <c r="E30" s="1592">
        <v>66</v>
      </c>
      <c r="F30" s="1592">
        <v>66</v>
      </c>
      <c r="G30" s="1592">
        <v>66</v>
      </c>
      <c r="H30" s="1592">
        <v>33</v>
      </c>
      <c r="I30" s="1592">
        <v>26</v>
      </c>
      <c r="J30" s="1491"/>
    </row>
    <row r="31" spans="1:10" ht="10" customHeight="1">
      <c r="B31" s="1583" t="s">
        <v>881</v>
      </c>
      <c r="C31" s="1584"/>
      <c r="D31" s="1579"/>
      <c r="E31" s="1900" t="s">
        <v>893</v>
      </c>
      <c r="F31" s="1593" t="s">
        <v>894</v>
      </c>
      <c r="G31" s="1900" t="s">
        <v>895</v>
      </c>
      <c r="H31" s="1900" t="s">
        <v>893</v>
      </c>
      <c r="I31" s="1593" t="s">
        <v>896</v>
      </c>
    </row>
    <row r="32" spans="1:10" ht="10" customHeight="1">
      <c r="B32" s="1583"/>
      <c r="C32" s="1586"/>
      <c r="D32" s="1587"/>
      <c r="E32" s="1901"/>
      <c r="F32" s="1594" t="s">
        <v>1084</v>
      </c>
      <c r="G32" s="1901"/>
      <c r="H32" s="1901"/>
      <c r="I32" s="1594" t="s">
        <v>1085</v>
      </c>
    </row>
    <row r="33" spans="2:9" ht="10" customHeight="1">
      <c r="B33" s="1588" t="s">
        <v>875</v>
      </c>
      <c r="C33" s="1595" t="s">
        <v>1086</v>
      </c>
      <c r="D33" s="1596" t="s">
        <v>377</v>
      </c>
      <c r="E33" s="1596" t="s">
        <v>1087</v>
      </c>
      <c r="F33" s="1596">
        <v>0.15</v>
      </c>
      <c r="G33" s="1596">
        <v>0.15</v>
      </c>
      <c r="H33" s="1596" t="s">
        <v>1087</v>
      </c>
      <c r="I33" s="1596" t="s">
        <v>1087</v>
      </c>
    </row>
    <row r="34" spans="2:9" ht="10" customHeight="1">
      <c r="B34" s="1583" t="s">
        <v>877</v>
      </c>
      <c r="C34" s="1597"/>
      <c r="D34" s="1579"/>
      <c r="E34" s="1579" t="s">
        <v>897</v>
      </c>
      <c r="F34" s="1579" t="s">
        <v>898</v>
      </c>
      <c r="G34" s="1579" t="s">
        <v>898</v>
      </c>
      <c r="H34" s="1579" t="s">
        <v>899</v>
      </c>
      <c r="I34" s="1579" t="s">
        <v>900</v>
      </c>
    </row>
    <row r="35" spans="2:9" ht="10" customHeight="1">
      <c r="B35" s="1583" t="s">
        <v>1077</v>
      </c>
      <c r="C35" s="1584"/>
      <c r="D35" s="1579"/>
      <c r="E35" s="1579" t="s">
        <v>1049</v>
      </c>
      <c r="F35" s="1579" t="s">
        <v>28</v>
      </c>
      <c r="G35" s="1579" t="s">
        <v>1088</v>
      </c>
      <c r="H35" s="1579" t="s">
        <v>28</v>
      </c>
      <c r="I35" s="1579" t="s">
        <v>28</v>
      </c>
    </row>
    <row r="36" spans="2:9" ht="10" customHeight="1">
      <c r="B36" s="1583" t="s">
        <v>1045</v>
      </c>
      <c r="C36" s="1597"/>
      <c r="D36" s="1579"/>
      <c r="E36" s="1579" t="s">
        <v>1049</v>
      </c>
      <c r="F36" s="1579" t="s">
        <v>28</v>
      </c>
      <c r="G36" s="1579" t="s">
        <v>901</v>
      </c>
      <c r="H36" s="1579" t="s">
        <v>901</v>
      </c>
      <c r="I36" s="1579">
        <v>2</v>
      </c>
    </row>
    <row r="37" spans="2:9" ht="10" customHeight="1">
      <c r="B37" s="1583" t="s">
        <v>880</v>
      </c>
      <c r="C37" s="1597"/>
      <c r="D37" s="1579"/>
      <c r="E37" s="1579">
        <v>4.4000000000000004</v>
      </c>
      <c r="F37" s="1579">
        <v>4.4000000000000004</v>
      </c>
      <c r="G37" s="1579">
        <v>4.4000000000000004</v>
      </c>
      <c r="H37" s="1579">
        <v>2.2000000000000002</v>
      </c>
      <c r="I37" s="1579">
        <v>1.8</v>
      </c>
    </row>
    <row r="38" spans="2:9" ht="10" customHeight="1">
      <c r="B38" s="1585" t="s">
        <v>881</v>
      </c>
      <c r="C38" s="1598"/>
      <c r="D38" s="1587"/>
      <c r="E38" s="1587">
        <v>2</v>
      </c>
      <c r="F38" s="1587" t="s">
        <v>898</v>
      </c>
      <c r="G38" s="1587" t="s">
        <v>901</v>
      </c>
      <c r="H38" s="1587" t="s">
        <v>901</v>
      </c>
      <c r="I38" s="1587" t="s">
        <v>43</v>
      </c>
    </row>
    <row r="39" spans="2:9" ht="10" customHeight="1">
      <c r="B39" s="1588" t="s">
        <v>875</v>
      </c>
      <c r="C39" s="1595" t="s">
        <v>1089</v>
      </c>
      <c r="D39" s="1596" t="s">
        <v>377</v>
      </c>
      <c r="E39" s="1596">
        <v>1.7</v>
      </c>
      <c r="F39" s="1596">
        <v>1.7</v>
      </c>
      <c r="G39" s="1596">
        <v>1.7</v>
      </c>
      <c r="H39" s="1596">
        <v>1.7</v>
      </c>
      <c r="I39" s="1596">
        <v>1.7</v>
      </c>
    </row>
    <row r="40" spans="2:9" ht="10" customHeight="1">
      <c r="B40" s="1583" t="s">
        <v>877</v>
      </c>
      <c r="C40" s="1597"/>
      <c r="D40" s="1579"/>
      <c r="E40" s="1579" t="s">
        <v>43</v>
      </c>
      <c r="F40" s="1579" t="s">
        <v>901</v>
      </c>
      <c r="G40" s="1579" t="s">
        <v>901</v>
      </c>
      <c r="H40" s="1579" t="s">
        <v>43</v>
      </c>
      <c r="I40" s="1579" t="s">
        <v>43</v>
      </c>
    </row>
    <row r="41" spans="2:9" ht="10" customHeight="1">
      <c r="B41" s="1583" t="s">
        <v>1077</v>
      </c>
      <c r="C41" s="1584"/>
      <c r="D41" s="1579"/>
      <c r="E41" s="1579" t="s">
        <v>899</v>
      </c>
      <c r="F41" s="1579" t="s">
        <v>28</v>
      </c>
      <c r="G41" s="1579" t="s">
        <v>901</v>
      </c>
      <c r="H41" s="1579" t="s">
        <v>28</v>
      </c>
      <c r="I41" s="1579" t="s">
        <v>28</v>
      </c>
    </row>
    <row r="42" spans="2:9" ht="10" customHeight="1">
      <c r="B42" s="1583" t="s">
        <v>1045</v>
      </c>
      <c r="C42" s="1597"/>
      <c r="D42" s="1579"/>
      <c r="E42" s="1579" t="s">
        <v>1050</v>
      </c>
      <c r="F42" s="1579" t="s">
        <v>28</v>
      </c>
      <c r="G42" s="1579" t="s">
        <v>901</v>
      </c>
      <c r="H42" s="1579">
        <v>2</v>
      </c>
      <c r="I42" s="1579">
        <v>1</v>
      </c>
    </row>
    <row r="43" spans="2:9" ht="10" customHeight="1">
      <c r="B43" s="1583" t="s">
        <v>880</v>
      </c>
      <c r="C43" s="1597"/>
      <c r="D43" s="1579"/>
      <c r="E43" s="1579" t="s">
        <v>28</v>
      </c>
      <c r="F43" s="1579" t="s">
        <v>28</v>
      </c>
      <c r="G43" s="1579" t="s">
        <v>28</v>
      </c>
      <c r="H43" s="1579" t="s">
        <v>28</v>
      </c>
      <c r="I43" s="1579" t="s">
        <v>28</v>
      </c>
    </row>
    <row r="44" spans="2:9" ht="10" customHeight="1">
      <c r="B44" s="1585" t="s">
        <v>881</v>
      </c>
      <c r="C44" s="1598"/>
      <c r="D44" s="1587"/>
      <c r="E44" s="1587" t="s">
        <v>43</v>
      </c>
      <c r="F44" s="1587" t="s">
        <v>902</v>
      </c>
      <c r="G44" s="1587" t="s">
        <v>901</v>
      </c>
      <c r="H44" s="1587" t="s">
        <v>43</v>
      </c>
      <c r="I44" s="1587" t="s">
        <v>63</v>
      </c>
    </row>
    <row r="45" spans="2:9" ht="10" customHeight="1">
      <c r="B45" s="1588" t="s">
        <v>875</v>
      </c>
      <c r="C45" s="1595" t="s">
        <v>1090</v>
      </c>
      <c r="D45" s="1596" t="s">
        <v>377</v>
      </c>
      <c r="E45" s="1596">
        <v>4.2</v>
      </c>
      <c r="F45" s="1596">
        <v>4.4000000000000004</v>
      </c>
      <c r="G45" s="1596">
        <v>3.7</v>
      </c>
      <c r="H45" s="1596">
        <v>2.8</v>
      </c>
      <c r="I45" s="1596">
        <v>2.2999999999999998</v>
      </c>
    </row>
    <row r="46" spans="2:9" ht="10" customHeight="1">
      <c r="B46" s="1583" t="s">
        <v>877</v>
      </c>
      <c r="C46" s="1597"/>
      <c r="D46" s="1579"/>
      <c r="E46" s="1579" t="s">
        <v>903</v>
      </c>
      <c r="F46" s="1579" t="s">
        <v>903</v>
      </c>
      <c r="G46" s="1579" t="s">
        <v>903</v>
      </c>
      <c r="H46" s="1579" t="s">
        <v>41</v>
      </c>
      <c r="I46" s="1579" t="s">
        <v>49</v>
      </c>
    </row>
    <row r="47" spans="2:9" ht="10" customHeight="1">
      <c r="B47" s="1583" t="s">
        <v>1077</v>
      </c>
      <c r="C47" s="1584"/>
      <c r="D47" s="1579"/>
      <c r="E47" s="1579" t="s">
        <v>1091</v>
      </c>
      <c r="F47" s="1579" t="s">
        <v>28</v>
      </c>
      <c r="G47" s="1579" t="s">
        <v>1091</v>
      </c>
      <c r="H47" s="1579" t="s">
        <v>905</v>
      </c>
      <c r="I47" s="1579" t="s">
        <v>422</v>
      </c>
    </row>
    <row r="48" spans="2:9" ht="10" customHeight="1">
      <c r="B48" s="1583" t="s">
        <v>1045</v>
      </c>
      <c r="C48" s="1597"/>
      <c r="D48" s="1579"/>
      <c r="E48" s="1579" t="s">
        <v>903</v>
      </c>
      <c r="F48" s="1579" t="s">
        <v>28</v>
      </c>
      <c r="G48" s="1579" t="s">
        <v>903</v>
      </c>
      <c r="H48" s="1579" t="s">
        <v>905</v>
      </c>
      <c r="I48" s="1579" t="s">
        <v>422</v>
      </c>
    </row>
    <row r="49" spans="1:10" s="1497" customFormat="1" ht="10" customHeight="1">
      <c r="A49" s="1477"/>
      <c r="B49" s="1583" t="s">
        <v>880</v>
      </c>
      <c r="C49" s="1597"/>
      <c r="D49" s="1579"/>
      <c r="E49" s="1579">
        <v>8.8000000000000007</v>
      </c>
      <c r="F49" s="1579">
        <v>8.8000000000000007</v>
      </c>
      <c r="G49" s="1579">
        <v>8.8000000000000007</v>
      </c>
      <c r="H49" s="1579">
        <v>8.8000000000000007</v>
      </c>
      <c r="I49" s="1579">
        <v>6.6</v>
      </c>
      <c r="J49" s="1477"/>
    </row>
    <row r="50" spans="1:10" ht="10" customHeight="1">
      <c r="B50" s="1585" t="s">
        <v>881</v>
      </c>
      <c r="C50" s="1598"/>
      <c r="D50" s="1587"/>
      <c r="E50" s="1587" t="s">
        <v>903</v>
      </c>
      <c r="F50" s="1587" t="s">
        <v>904</v>
      </c>
      <c r="G50" s="1587" t="s">
        <v>903</v>
      </c>
      <c r="H50" s="1587" t="s">
        <v>905</v>
      </c>
      <c r="I50" s="1587" t="s">
        <v>422</v>
      </c>
    </row>
    <row r="51" spans="1:10" ht="10" customHeight="1">
      <c r="B51" s="1588" t="s">
        <v>875</v>
      </c>
      <c r="C51" s="1595" t="s">
        <v>1092</v>
      </c>
      <c r="D51" s="1596" t="s">
        <v>377</v>
      </c>
      <c r="E51" s="1596">
        <v>1.5</v>
      </c>
      <c r="F51" s="1596">
        <v>3</v>
      </c>
      <c r="G51" s="1596">
        <v>3</v>
      </c>
      <c r="H51" s="1596">
        <v>3</v>
      </c>
      <c r="I51" s="1596">
        <v>3</v>
      </c>
    </row>
    <row r="52" spans="1:10" ht="10" customHeight="1">
      <c r="B52" s="1583" t="s">
        <v>877</v>
      </c>
      <c r="C52" s="1597"/>
      <c r="D52" s="1579"/>
      <c r="E52" s="1579" t="s">
        <v>898</v>
      </c>
      <c r="F52" s="1579" t="s">
        <v>422</v>
      </c>
      <c r="G52" s="1579" t="s">
        <v>422</v>
      </c>
      <c r="H52" s="1579" t="s">
        <v>41</v>
      </c>
      <c r="I52" s="1579" t="s">
        <v>49</v>
      </c>
    </row>
    <row r="53" spans="1:10" ht="10" customHeight="1">
      <c r="B53" s="1583" t="s">
        <v>1077</v>
      </c>
      <c r="C53" s="1584"/>
      <c r="D53" s="1579"/>
      <c r="E53" s="1579" t="s">
        <v>1093</v>
      </c>
      <c r="F53" s="1579" t="s">
        <v>28</v>
      </c>
      <c r="G53" s="1579" t="s">
        <v>1094</v>
      </c>
      <c r="H53" s="1579" t="s">
        <v>902</v>
      </c>
      <c r="I53" s="1579" t="s">
        <v>901</v>
      </c>
    </row>
    <row r="54" spans="1:10" ht="10" customHeight="1">
      <c r="B54" s="1583" t="s">
        <v>1045</v>
      </c>
      <c r="C54" s="1597"/>
      <c r="D54" s="1579"/>
      <c r="E54" s="1579" t="s">
        <v>905</v>
      </c>
      <c r="F54" s="1579" t="s">
        <v>28</v>
      </c>
      <c r="G54" s="1579" t="s">
        <v>905</v>
      </c>
      <c r="H54" s="1579" t="s">
        <v>422</v>
      </c>
      <c r="I54" s="1579" t="s">
        <v>898</v>
      </c>
    </row>
    <row r="55" spans="1:10" ht="10" customHeight="1">
      <c r="B55" s="1583" t="s">
        <v>880</v>
      </c>
      <c r="C55" s="1597"/>
      <c r="D55" s="1579"/>
      <c r="E55" s="1579">
        <v>0</v>
      </c>
      <c r="F55" s="1579">
        <v>0</v>
      </c>
      <c r="G55" s="1579">
        <v>0</v>
      </c>
      <c r="H55" s="1579">
        <v>0</v>
      </c>
      <c r="I55" s="1579">
        <v>0</v>
      </c>
    </row>
    <row r="56" spans="1:10" ht="10" customHeight="1">
      <c r="B56" s="1585" t="s">
        <v>881</v>
      </c>
      <c r="C56" s="1598"/>
      <c r="D56" s="1587"/>
      <c r="E56" s="1587" t="s">
        <v>905</v>
      </c>
      <c r="F56" s="1587" t="s">
        <v>903</v>
      </c>
      <c r="G56" s="1587" t="s">
        <v>905</v>
      </c>
      <c r="H56" s="1587" t="s">
        <v>422</v>
      </c>
      <c r="I56" s="1587" t="s">
        <v>898</v>
      </c>
    </row>
    <row r="57" spans="1:10" ht="10" customHeight="1">
      <c r="B57" s="1588" t="s">
        <v>875</v>
      </c>
      <c r="C57" s="1595" t="s">
        <v>1095</v>
      </c>
      <c r="D57" s="1596" t="s">
        <v>378</v>
      </c>
      <c r="E57" s="1596">
        <v>17</v>
      </c>
      <c r="F57" s="1596">
        <v>40</v>
      </c>
      <c r="G57" s="1596">
        <v>23</v>
      </c>
      <c r="H57" s="1596">
        <v>10</v>
      </c>
      <c r="I57" s="1596">
        <v>10</v>
      </c>
    </row>
    <row r="58" spans="1:10" ht="10" customHeight="1">
      <c r="B58" s="1583" t="s">
        <v>877</v>
      </c>
      <c r="C58" s="1597"/>
      <c r="D58" s="1579"/>
      <c r="E58" s="1579" t="s">
        <v>387</v>
      </c>
      <c r="F58" s="1579" t="s">
        <v>793</v>
      </c>
      <c r="G58" s="1579" t="s">
        <v>793</v>
      </c>
      <c r="H58" s="1579" t="s">
        <v>906</v>
      </c>
      <c r="I58" s="1579" t="s">
        <v>907</v>
      </c>
    </row>
    <row r="59" spans="1:10" ht="10" customHeight="1">
      <c r="B59" s="1583" t="s">
        <v>1077</v>
      </c>
      <c r="C59" s="1584"/>
      <c r="D59" s="1579"/>
      <c r="E59" s="1579" t="s">
        <v>924</v>
      </c>
      <c r="F59" s="1579" t="s">
        <v>28</v>
      </c>
      <c r="G59" s="1579" t="s">
        <v>923</v>
      </c>
      <c r="H59" s="1579" t="s">
        <v>906</v>
      </c>
      <c r="I59" s="1579" t="s">
        <v>924</v>
      </c>
    </row>
    <row r="60" spans="1:10" ht="10" customHeight="1">
      <c r="B60" s="1583" t="s">
        <v>1045</v>
      </c>
      <c r="C60" s="1597"/>
      <c r="D60" s="1579"/>
      <c r="E60" s="1579" t="s">
        <v>906</v>
      </c>
      <c r="F60" s="1579" t="s">
        <v>28</v>
      </c>
      <c r="G60" s="1579" t="s">
        <v>793</v>
      </c>
      <c r="H60" s="1579" t="s">
        <v>906</v>
      </c>
      <c r="I60" s="1579" t="s">
        <v>907</v>
      </c>
    </row>
    <row r="61" spans="1:10" ht="10" customHeight="1">
      <c r="B61" s="1583" t="s">
        <v>880</v>
      </c>
      <c r="C61" s="1597"/>
      <c r="D61" s="1579"/>
      <c r="E61" s="1579">
        <v>22</v>
      </c>
      <c r="F61" s="1579">
        <v>44</v>
      </c>
      <c r="G61" s="1579">
        <v>44</v>
      </c>
      <c r="H61" s="1579">
        <v>22</v>
      </c>
      <c r="I61" s="1579">
        <v>18</v>
      </c>
    </row>
    <row r="62" spans="1:10" ht="10" customHeight="1">
      <c r="B62" s="1585" t="s">
        <v>881</v>
      </c>
      <c r="C62" s="1598"/>
      <c r="D62" s="1587"/>
      <c r="E62" s="1587" t="s">
        <v>906</v>
      </c>
      <c r="F62" s="1587" t="s">
        <v>896</v>
      </c>
      <c r="G62" s="1587" t="s">
        <v>793</v>
      </c>
      <c r="H62" s="1587" t="s">
        <v>906</v>
      </c>
      <c r="I62" s="1587" t="s">
        <v>907</v>
      </c>
    </row>
    <row r="63" spans="1:10" ht="10" customHeight="1">
      <c r="B63" s="1588" t="s">
        <v>875</v>
      </c>
      <c r="C63" s="1595" t="s">
        <v>379</v>
      </c>
      <c r="D63" s="1596" t="s">
        <v>378</v>
      </c>
      <c r="E63" s="1596">
        <v>220</v>
      </c>
      <c r="F63" s="1596">
        <v>90</v>
      </c>
      <c r="G63" s="1596">
        <v>90</v>
      </c>
      <c r="H63" s="1596">
        <v>60</v>
      </c>
      <c r="I63" s="1596">
        <v>60</v>
      </c>
    </row>
    <row r="64" spans="1:10" ht="10" customHeight="1">
      <c r="B64" s="1583" t="s">
        <v>877</v>
      </c>
      <c r="C64" s="1597"/>
      <c r="D64" s="1579"/>
      <c r="E64" s="1579" t="s">
        <v>908</v>
      </c>
      <c r="F64" s="1579" t="s">
        <v>909</v>
      </c>
      <c r="G64" s="1579" t="s">
        <v>909</v>
      </c>
      <c r="H64" s="1579" t="s">
        <v>910</v>
      </c>
      <c r="I64" s="1579" t="s">
        <v>911</v>
      </c>
    </row>
    <row r="65" spans="2:9" ht="10" customHeight="1">
      <c r="B65" s="1583" t="s">
        <v>1077</v>
      </c>
      <c r="C65" s="1584"/>
      <c r="D65" s="1579"/>
      <c r="E65" s="1579" t="s">
        <v>1096</v>
      </c>
      <c r="F65" s="1579" t="s">
        <v>28</v>
      </c>
      <c r="G65" s="1579" t="s">
        <v>910</v>
      </c>
      <c r="H65" s="1579" t="s">
        <v>28</v>
      </c>
      <c r="I65" s="1579" t="s">
        <v>28</v>
      </c>
    </row>
    <row r="66" spans="2:9" ht="10" customHeight="1">
      <c r="B66" s="1583" t="s">
        <v>1045</v>
      </c>
      <c r="C66" s="1597"/>
      <c r="D66" s="1579"/>
      <c r="E66" s="1579" t="s">
        <v>908</v>
      </c>
      <c r="F66" s="1579" t="s">
        <v>28</v>
      </c>
      <c r="G66" s="1579" t="s">
        <v>909</v>
      </c>
      <c r="H66" s="1579" t="s">
        <v>910</v>
      </c>
      <c r="I66" s="1579" t="s">
        <v>911</v>
      </c>
    </row>
    <row r="67" spans="2:9" ht="10" customHeight="1">
      <c r="B67" s="1583" t="s">
        <v>880</v>
      </c>
      <c r="C67" s="1597"/>
      <c r="D67" s="1579"/>
      <c r="E67" s="1579">
        <v>220</v>
      </c>
      <c r="F67" s="1579">
        <v>0</v>
      </c>
      <c r="G67" s="1579">
        <v>0</v>
      </c>
      <c r="H67" s="1579">
        <v>0</v>
      </c>
      <c r="I67" s="1579">
        <v>0</v>
      </c>
    </row>
    <row r="68" spans="2:9" ht="10" customHeight="1">
      <c r="B68" s="1585" t="s">
        <v>881</v>
      </c>
      <c r="C68" s="1598"/>
      <c r="D68" s="1587"/>
      <c r="E68" s="1587" t="s">
        <v>908</v>
      </c>
      <c r="F68" s="1587" t="s">
        <v>912</v>
      </c>
      <c r="G68" s="1587" t="s">
        <v>909</v>
      </c>
      <c r="H68" s="1587" t="s">
        <v>910</v>
      </c>
      <c r="I68" s="1587" t="s">
        <v>911</v>
      </c>
    </row>
    <row r="69" spans="2:9" ht="10" customHeight="1">
      <c r="B69" s="1588" t="s">
        <v>875</v>
      </c>
      <c r="C69" s="1595" t="s">
        <v>380</v>
      </c>
      <c r="D69" s="1596" t="s">
        <v>377</v>
      </c>
      <c r="E69" s="1596">
        <v>1200</v>
      </c>
      <c r="F69" s="1596">
        <v>1000</v>
      </c>
      <c r="G69" s="1596">
        <v>1000</v>
      </c>
      <c r="H69" s="1596">
        <v>800</v>
      </c>
      <c r="I69" s="1596">
        <v>500</v>
      </c>
    </row>
    <row r="70" spans="2:9" ht="10" customHeight="1">
      <c r="B70" s="1583" t="s">
        <v>877</v>
      </c>
      <c r="C70" s="1597"/>
      <c r="D70" s="1579"/>
      <c r="E70" s="1579" t="s">
        <v>913</v>
      </c>
      <c r="F70" s="1579" t="s">
        <v>914</v>
      </c>
      <c r="G70" s="1579" t="s">
        <v>914</v>
      </c>
      <c r="H70" s="1579" t="s">
        <v>915</v>
      </c>
      <c r="I70" s="1579" t="s">
        <v>916</v>
      </c>
    </row>
    <row r="71" spans="2:9" ht="10" customHeight="1">
      <c r="B71" s="1583" t="s">
        <v>1077</v>
      </c>
      <c r="C71" s="1584"/>
      <c r="D71" s="1579"/>
      <c r="E71" s="1579" t="s">
        <v>913</v>
      </c>
      <c r="F71" s="1579" t="s">
        <v>28</v>
      </c>
      <c r="G71" s="1579" t="s">
        <v>913</v>
      </c>
      <c r="H71" s="1579" t="s">
        <v>28</v>
      </c>
      <c r="I71" s="1579" t="s">
        <v>28</v>
      </c>
    </row>
    <row r="72" spans="2:9" ht="10" customHeight="1">
      <c r="B72" s="1583" t="s">
        <v>1045</v>
      </c>
      <c r="C72" s="1597"/>
      <c r="D72" s="1579"/>
      <c r="E72" s="1579" t="s">
        <v>917</v>
      </c>
      <c r="F72" s="1579" t="s">
        <v>28</v>
      </c>
      <c r="G72" s="1579" t="s">
        <v>917</v>
      </c>
      <c r="H72" s="1579" t="s">
        <v>919</v>
      </c>
      <c r="I72" s="1579" t="s">
        <v>919</v>
      </c>
    </row>
    <row r="73" spans="2:9" ht="10" customHeight="1">
      <c r="B73" s="1583" t="s">
        <v>880</v>
      </c>
      <c r="C73" s="1597"/>
      <c r="D73" s="1579"/>
      <c r="E73" s="1579">
        <v>550</v>
      </c>
      <c r="F73" s="1579">
        <v>0</v>
      </c>
      <c r="G73" s="1579">
        <v>0</v>
      </c>
      <c r="H73" s="1579">
        <v>0</v>
      </c>
      <c r="I73" s="1579">
        <v>0</v>
      </c>
    </row>
    <row r="74" spans="2:9" ht="10" customHeight="1">
      <c r="B74" s="1585" t="s">
        <v>881</v>
      </c>
      <c r="C74" s="1598"/>
      <c r="D74" s="1587"/>
      <c r="E74" s="1587" t="s">
        <v>917</v>
      </c>
      <c r="F74" s="1587" t="s">
        <v>918</v>
      </c>
      <c r="G74" s="1587" t="s">
        <v>917</v>
      </c>
      <c r="H74" s="1587" t="s">
        <v>919</v>
      </c>
      <c r="I74" s="1587" t="s">
        <v>920</v>
      </c>
    </row>
    <row r="75" spans="2:9" ht="10" customHeight="1">
      <c r="B75" s="1588" t="s">
        <v>875</v>
      </c>
      <c r="C75" s="1595" t="s">
        <v>381</v>
      </c>
      <c r="D75" s="1596" t="s">
        <v>377</v>
      </c>
      <c r="E75" s="1596">
        <v>1.44</v>
      </c>
      <c r="F75" s="1596">
        <v>0.33</v>
      </c>
      <c r="G75" s="1596">
        <v>0.33</v>
      </c>
      <c r="H75" s="1596">
        <v>0.33</v>
      </c>
      <c r="I75" s="1596">
        <v>0.33</v>
      </c>
    </row>
    <row r="76" spans="2:9" ht="10" customHeight="1">
      <c r="B76" s="1583" t="s">
        <v>877</v>
      </c>
      <c r="C76" s="1597"/>
      <c r="D76" s="1579"/>
      <c r="E76" s="1579" t="s">
        <v>901</v>
      </c>
      <c r="F76" s="1579" t="s">
        <v>900</v>
      </c>
      <c r="G76" s="1579" t="s">
        <v>900</v>
      </c>
      <c r="H76" s="1579" t="s">
        <v>921</v>
      </c>
      <c r="I76" s="1579" t="s">
        <v>922</v>
      </c>
    </row>
    <row r="77" spans="2:9" ht="10" customHeight="1">
      <c r="B77" s="1583" t="s">
        <v>1077</v>
      </c>
      <c r="C77" s="1584"/>
      <c r="D77" s="1579"/>
      <c r="E77" s="1579" t="s">
        <v>901</v>
      </c>
      <c r="F77" s="1579" t="s">
        <v>28</v>
      </c>
      <c r="G77" s="1579" t="s">
        <v>899</v>
      </c>
      <c r="H77" s="1579" t="s">
        <v>28</v>
      </c>
      <c r="I77" s="1579" t="s">
        <v>28</v>
      </c>
    </row>
    <row r="78" spans="2:9" ht="10" customHeight="1">
      <c r="B78" s="1583" t="s">
        <v>1045</v>
      </c>
      <c r="C78" s="1597"/>
      <c r="D78" s="1579"/>
      <c r="E78" s="1579" t="s">
        <v>901</v>
      </c>
      <c r="F78" s="1579" t="s">
        <v>28</v>
      </c>
      <c r="G78" s="1579">
        <v>2</v>
      </c>
      <c r="H78" s="1579">
        <v>1</v>
      </c>
      <c r="I78" s="1579" t="s">
        <v>28</v>
      </c>
    </row>
    <row r="79" spans="2:9" ht="10" customHeight="1">
      <c r="B79" s="1583" t="s">
        <v>880</v>
      </c>
      <c r="C79" s="1597"/>
      <c r="D79" s="1579"/>
      <c r="E79" s="1579">
        <v>1.65</v>
      </c>
      <c r="F79" s="1579">
        <v>0</v>
      </c>
      <c r="G79" s="1579">
        <v>0</v>
      </c>
      <c r="H79" s="1579">
        <v>0</v>
      </c>
      <c r="I79" s="1579">
        <v>0</v>
      </c>
    </row>
    <row r="80" spans="2:9" ht="11" customHeight="1">
      <c r="B80" s="1585" t="s">
        <v>881</v>
      </c>
      <c r="C80" s="1598"/>
      <c r="D80" s="1587"/>
      <c r="E80" s="1587" t="s">
        <v>901</v>
      </c>
      <c r="F80" s="1587" t="s">
        <v>43</v>
      </c>
      <c r="G80" s="1587" t="s">
        <v>43</v>
      </c>
      <c r="H80" s="1587" t="s">
        <v>63</v>
      </c>
      <c r="I80" s="1587" t="s">
        <v>63</v>
      </c>
    </row>
    <row r="81" spans="2:9" ht="11" customHeight="1">
      <c r="B81" s="1588" t="s">
        <v>875</v>
      </c>
      <c r="C81" s="1902" t="s">
        <v>1097</v>
      </c>
      <c r="D81" s="1596" t="s">
        <v>377</v>
      </c>
      <c r="E81" s="1596">
        <v>11</v>
      </c>
      <c r="F81" s="1596">
        <v>20</v>
      </c>
      <c r="G81" s="1596">
        <v>15</v>
      </c>
      <c r="H81" s="1596">
        <v>15</v>
      </c>
      <c r="I81" s="1596">
        <v>15</v>
      </c>
    </row>
    <row r="82" spans="2:9" ht="11" customHeight="1">
      <c r="B82" s="1583" t="s">
        <v>877</v>
      </c>
      <c r="C82" s="1903"/>
      <c r="D82" s="1579"/>
      <c r="E82" s="1579" t="s">
        <v>923</v>
      </c>
      <c r="F82" s="1579" t="s">
        <v>418</v>
      </c>
      <c r="G82" s="1579" t="s">
        <v>418</v>
      </c>
      <c r="H82" s="1579" t="s">
        <v>906</v>
      </c>
      <c r="I82" s="1579" t="s">
        <v>907</v>
      </c>
    </row>
    <row r="83" spans="2:9" ht="10" customHeight="1">
      <c r="B83" s="1583" t="s">
        <v>1077</v>
      </c>
      <c r="C83" s="1903"/>
      <c r="D83" s="1579"/>
      <c r="E83" s="1579" t="s">
        <v>923</v>
      </c>
      <c r="F83" s="1579" t="s">
        <v>28</v>
      </c>
      <c r="G83" s="1579" t="s">
        <v>1098</v>
      </c>
      <c r="H83" s="1579" t="s">
        <v>906</v>
      </c>
      <c r="I83" s="1579" t="s">
        <v>924</v>
      </c>
    </row>
    <row r="84" spans="2:9" ht="10" customHeight="1">
      <c r="B84" s="1583" t="s">
        <v>1045</v>
      </c>
      <c r="C84" s="1597"/>
      <c r="D84" s="1579"/>
      <c r="E84" s="1579" t="s">
        <v>418</v>
      </c>
      <c r="F84" s="1579" t="s">
        <v>28</v>
      </c>
      <c r="G84" s="1579" t="s">
        <v>418</v>
      </c>
      <c r="H84" s="1579" t="s">
        <v>906</v>
      </c>
      <c r="I84" s="1579" t="s">
        <v>907</v>
      </c>
    </row>
    <row r="85" spans="2:9" ht="10" customHeight="1">
      <c r="B85" s="1583" t="s">
        <v>880</v>
      </c>
      <c r="C85" s="1597"/>
      <c r="D85" s="1579"/>
      <c r="E85" s="1579">
        <v>33</v>
      </c>
      <c r="F85" s="1579">
        <v>49</v>
      </c>
      <c r="G85" s="1579">
        <v>49</v>
      </c>
      <c r="H85" s="1579">
        <v>24</v>
      </c>
      <c r="I85" s="1579">
        <v>20</v>
      </c>
    </row>
    <row r="86" spans="2:9" ht="10" customHeight="1">
      <c r="B86" s="1585" t="s">
        <v>881</v>
      </c>
      <c r="C86" s="1598"/>
      <c r="D86" s="1587"/>
      <c r="E86" s="1587" t="s">
        <v>418</v>
      </c>
      <c r="F86" s="1587" t="s">
        <v>314</v>
      </c>
      <c r="G86" s="1587" t="s">
        <v>418</v>
      </c>
      <c r="H86" s="1587" t="s">
        <v>906</v>
      </c>
      <c r="I86" s="1587" t="s">
        <v>907</v>
      </c>
    </row>
    <row r="87" spans="2:9" ht="11" customHeight="1">
      <c r="B87" s="1588" t="s">
        <v>875</v>
      </c>
      <c r="C87" s="1595" t="s">
        <v>382</v>
      </c>
      <c r="D87" s="1596" t="s">
        <v>377</v>
      </c>
      <c r="E87" s="1596">
        <v>13</v>
      </c>
      <c r="F87" s="1596">
        <v>13</v>
      </c>
      <c r="G87" s="1596">
        <v>13</v>
      </c>
      <c r="H87" s="1596">
        <v>10</v>
      </c>
      <c r="I87" s="1596">
        <v>10</v>
      </c>
    </row>
    <row r="88" spans="2:9" ht="11" customHeight="1">
      <c r="B88" s="1583" t="s">
        <v>877</v>
      </c>
      <c r="C88" s="1597"/>
      <c r="D88" s="1579"/>
      <c r="E88" s="1579" t="s">
        <v>924</v>
      </c>
      <c r="F88" s="1579" t="s">
        <v>925</v>
      </c>
      <c r="G88" s="1579" t="s">
        <v>925</v>
      </c>
      <c r="H88" s="1579" t="s">
        <v>926</v>
      </c>
      <c r="I88" s="1579" t="s">
        <v>927</v>
      </c>
    </row>
    <row r="89" spans="2:9" ht="11" customHeight="1">
      <c r="B89" s="1583" t="s">
        <v>1077</v>
      </c>
      <c r="C89" s="1584"/>
      <c r="D89" s="1579"/>
      <c r="E89" s="1579" t="s">
        <v>1099</v>
      </c>
      <c r="F89" s="1579" t="s">
        <v>28</v>
      </c>
      <c r="G89" s="1579" t="s">
        <v>1099</v>
      </c>
      <c r="H89" s="1579" t="s">
        <v>926</v>
      </c>
      <c r="I89" s="1579" t="s">
        <v>927</v>
      </c>
    </row>
    <row r="90" spans="2:9" ht="11" customHeight="1">
      <c r="B90" s="1583" t="s">
        <v>1045</v>
      </c>
      <c r="C90" s="1597"/>
      <c r="D90" s="1579"/>
      <c r="E90" s="1579" t="s">
        <v>928</v>
      </c>
      <c r="F90" s="1579" t="s">
        <v>28</v>
      </c>
      <c r="G90" s="1579" t="s">
        <v>928</v>
      </c>
      <c r="H90" s="1599" t="s">
        <v>926</v>
      </c>
      <c r="I90" s="1599" t="s">
        <v>1051</v>
      </c>
    </row>
    <row r="91" spans="2:9" ht="11" customHeight="1">
      <c r="B91" s="1583" t="s">
        <v>880</v>
      </c>
      <c r="C91" s="1597"/>
      <c r="D91" s="1579"/>
      <c r="E91" s="1579">
        <v>22</v>
      </c>
      <c r="F91" s="1579">
        <v>26</v>
      </c>
      <c r="G91" s="1579">
        <v>26</v>
      </c>
      <c r="H91" s="1579">
        <v>15</v>
      </c>
      <c r="I91" s="1579">
        <v>13</v>
      </c>
    </row>
    <row r="92" spans="2:9" ht="11" customHeight="1">
      <c r="B92" s="1583" t="s">
        <v>881</v>
      </c>
      <c r="C92" s="1597"/>
      <c r="D92" s="1579"/>
      <c r="E92" s="1599" t="s">
        <v>928</v>
      </c>
      <c r="F92" s="1600" t="s">
        <v>924</v>
      </c>
      <c r="G92" s="1600" t="s">
        <v>928</v>
      </c>
      <c r="H92" s="1599" t="s">
        <v>926</v>
      </c>
      <c r="I92" s="1599" t="s">
        <v>927</v>
      </c>
    </row>
    <row r="93" spans="2:9" ht="10" customHeight="1">
      <c r="B93" s="1588" t="s">
        <v>877</v>
      </c>
      <c r="C93" s="1601" t="s">
        <v>929</v>
      </c>
      <c r="D93" s="1596" t="s">
        <v>377</v>
      </c>
      <c r="E93" s="1602" t="s">
        <v>930</v>
      </c>
      <c r="F93" s="1603" t="s">
        <v>1100</v>
      </c>
      <c r="G93" s="1603" t="s">
        <v>1100</v>
      </c>
      <c r="H93" s="1604" t="s">
        <v>28</v>
      </c>
      <c r="I93" s="1604" t="s">
        <v>28</v>
      </c>
    </row>
    <row r="94" spans="2:9" ht="10" customHeight="1">
      <c r="B94" s="1583" t="s">
        <v>1045</v>
      </c>
      <c r="C94" s="1605"/>
      <c r="D94" s="1606"/>
      <c r="E94" s="1607" t="s">
        <v>1101</v>
      </c>
      <c r="F94" s="1603" t="s">
        <v>28</v>
      </c>
      <c r="G94" s="1603" t="s">
        <v>1100</v>
      </c>
      <c r="H94" s="1603" t="s">
        <v>28</v>
      </c>
      <c r="I94" s="1599" t="s">
        <v>28</v>
      </c>
    </row>
    <row r="95" spans="2:9" ht="10" customHeight="1">
      <c r="B95" s="1585" t="s">
        <v>881</v>
      </c>
      <c r="C95" s="1608"/>
      <c r="D95" s="1587"/>
      <c r="E95" s="1609" t="s">
        <v>1102</v>
      </c>
      <c r="F95" s="1609" t="s">
        <v>375</v>
      </c>
      <c r="G95" s="1609" t="s">
        <v>1100</v>
      </c>
      <c r="H95" s="1609" t="s">
        <v>1103</v>
      </c>
      <c r="I95" s="1600" t="s">
        <v>1103</v>
      </c>
    </row>
    <row r="96" spans="2:9" ht="10" customHeight="1">
      <c r="B96" s="1583" t="s">
        <v>877</v>
      </c>
      <c r="C96" s="1610" t="s">
        <v>931</v>
      </c>
      <c r="D96" s="1611" t="s">
        <v>377</v>
      </c>
      <c r="E96" s="1612" t="s">
        <v>148</v>
      </c>
      <c r="F96" s="1579" t="s">
        <v>28</v>
      </c>
      <c r="G96" s="1579" t="s">
        <v>28</v>
      </c>
      <c r="H96" s="1579" t="s">
        <v>28</v>
      </c>
      <c r="I96" s="1579" t="s">
        <v>28</v>
      </c>
    </row>
    <row r="97" spans="1:10" ht="11" customHeight="1">
      <c r="B97" s="1613" t="s">
        <v>881</v>
      </c>
      <c r="C97" s="1614" t="s">
        <v>932</v>
      </c>
      <c r="D97" s="1611" t="s">
        <v>377</v>
      </c>
      <c r="E97" s="1615" t="s">
        <v>1104</v>
      </c>
      <c r="F97" s="1611" t="s">
        <v>28</v>
      </c>
      <c r="G97" s="1611" t="s">
        <v>28</v>
      </c>
      <c r="H97" s="1611" t="s">
        <v>28</v>
      </c>
      <c r="I97" s="1611" t="s">
        <v>28</v>
      </c>
    </row>
    <row r="98" spans="1:10" ht="10" customHeight="1">
      <c r="A98" s="1571"/>
      <c r="B98" s="1904"/>
      <c r="C98" s="1905"/>
      <c r="D98" s="1905"/>
      <c r="E98" s="1905"/>
      <c r="F98" s="1905"/>
      <c r="G98" s="1905"/>
      <c r="H98" s="1905"/>
      <c r="I98" s="1905"/>
      <c r="J98" s="1571"/>
    </row>
    <row r="99" spans="1:10" ht="10" customHeight="1">
      <c r="B99" s="1616" t="s">
        <v>874</v>
      </c>
      <c r="C99" s="1906" t="s">
        <v>383</v>
      </c>
      <c r="D99" s="1907"/>
      <c r="E99" s="1617" t="s">
        <v>371</v>
      </c>
      <c r="F99" s="1908" t="s">
        <v>161</v>
      </c>
      <c r="G99" s="1909"/>
      <c r="H99" s="1910" t="s">
        <v>163</v>
      </c>
      <c r="I99" s="1911"/>
    </row>
    <row r="100" spans="1:10" ht="10" customHeight="1">
      <c r="B100" s="1618"/>
      <c r="C100" s="1882"/>
      <c r="D100" s="1883"/>
      <c r="E100" s="1619" t="s">
        <v>372</v>
      </c>
      <c r="F100" s="1620"/>
      <c r="G100" s="1620"/>
      <c r="H100" s="1620"/>
      <c r="I100" s="1620"/>
    </row>
    <row r="101" spans="1:10" ht="10" customHeight="1">
      <c r="B101" s="1621"/>
      <c r="C101" s="1884"/>
      <c r="D101" s="1885"/>
      <c r="E101" s="1622" t="s">
        <v>443</v>
      </c>
      <c r="F101" s="1623"/>
      <c r="G101" s="1624"/>
      <c r="H101" s="1624"/>
      <c r="I101" s="1624"/>
    </row>
    <row r="102" spans="1:10" ht="10" customHeight="1">
      <c r="B102" s="1625"/>
      <c r="C102" s="1886"/>
      <c r="D102" s="1887"/>
      <c r="E102" s="1626" t="s">
        <v>403</v>
      </c>
      <c r="F102" s="1627" t="s">
        <v>399</v>
      </c>
      <c r="G102" s="1627" t="s">
        <v>400</v>
      </c>
      <c r="H102" s="1627" t="s">
        <v>401</v>
      </c>
      <c r="I102" s="1627" t="s">
        <v>94</v>
      </c>
    </row>
    <row r="103" spans="1:10" ht="10" customHeight="1">
      <c r="B103" s="1588" t="s">
        <v>875</v>
      </c>
      <c r="C103" s="1589" t="s">
        <v>933</v>
      </c>
      <c r="D103" s="1628" t="s">
        <v>377</v>
      </c>
      <c r="E103" s="1592">
        <v>80</v>
      </c>
      <c r="F103" s="1912" t="s">
        <v>1105</v>
      </c>
      <c r="G103" s="1913"/>
      <c r="H103" s="1912" t="s">
        <v>384</v>
      </c>
      <c r="I103" s="1914"/>
    </row>
    <row r="104" spans="1:10" ht="10" customHeight="1">
      <c r="B104" s="1583" t="s">
        <v>877</v>
      </c>
      <c r="C104" s="1584"/>
      <c r="D104" s="1592"/>
      <c r="E104" s="1592" t="s">
        <v>386</v>
      </c>
      <c r="F104" s="1915" t="s">
        <v>1106</v>
      </c>
      <c r="G104" s="1916"/>
      <c r="H104" s="1915" t="s">
        <v>384</v>
      </c>
      <c r="I104" s="1916"/>
    </row>
    <row r="105" spans="1:10" ht="10" customHeight="1">
      <c r="B105" s="1583" t="s">
        <v>1077</v>
      </c>
      <c r="C105" s="1584"/>
      <c r="D105" s="1579"/>
      <c r="E105" s="1592" t="s">
        <v>386</v>
      </c>
      <c r="F105" s="1917" t="s">
        <v>1107</v>
      </c>
      <c r="G105" s="1918"/>
      <c r="H105" s="1915" t="s">
        <v>1108</v>
      </c>
      <c r="I105" s="1919"/>
    </row>
    <row r="106" spans="1:10" ht="10" customHeight="1">
      <c r="B106" s="1583" t="s">
        <v>1045</v>
      </c>
      <c r="C106" s="1584"/>
      <c r="D106" s="1592"/>
      <c r="E106" s="1629" t="s">
        <v>910</v>
      </c>
      <c r="F106" s="1917" t="s">
        <v>1107</v>
      </c>
      <c r="G106" s="1918"/>
      <c r="H106" s="1915" t="s">
        <v>1052</v>
      </c>
      <c r="I106" s="1916"/>
    </row>
    <row r="107" spans="1:10" ht="10" customHeight="1">
      <c r="B107" s="1583" t="s">
        <v>880</v>
      </c>
      <c r="C107" s="1584"/>
      <c r="D107" s="1592"/>
      <c r="E107" s="1592">
        <v>165</v>
      </c>
      <c r="F107" s="1915" t="s">
        <v>1109</v>
      </c>
      <c r="G107" s="1919"/>
      <c r="H107" s="1592">
        <v>125</v>
      </c>
      <c r="I107" s="1579">
        <v>100</v>
      </c>
    </row>
    <row r="108" spans="1:10" ht="10" customHeight="1">
      <c r="B108" s="1585"/>
      <c r="C108" s="1586" t="s">
        <v>934</v>
      </c>
      <c r="D108" s="1630"/>
      <c r="E108" s="1592" t="s">
        <v>935</v>
      </c>
      <c r="F108" s="1915" t="s">
        <v>936</v>
      </c>
      <c r="G108" s="1919"/>
      <c r="H108" s="1915" t="s">
        <v>935</v>
      </c>
      <c r="I108" s="1920"/>
    </row>
    <row r="109" spans="1:10" ht="10" customHeight="1">
      <c r="B109" s="1588" t="s">
        <v>875</v>
      </c>
      <c r="C109" s="1589" t="s">
        <v>937</v>
      </c>
      <c r="D109" s="1628" t="s">
        <v>377</v>
      </c>
      <c r="E109" s="1590" t="s">
        <v>1110</v>
      </c>
      <c r="F109" s="1912">
        <v>6</v>
      </c>
      <c r="G109" s="1913"/>
      <c r="H109" s="1912" t="s">
        <v>385</v>
      </c>
      <c r="I109" s="1913"/>
    </row>
    <row r="110" spans="1:10" ht="10" customHeight="1">
      <c r="B110" s="1583" t="s">
        <v>877</v>
      </c>
      <c r="C110" s="1584"/>
      <c r="D110" s="1592"/>
      <c r="E110" s="1593" t="s">
        <v>924</v>
      </c>
      <c r="F110" s="1921" t="s">
        <v>938</v>
      </c>
      <c r="G110" s="1922"/>
      <c r="H110" s="1921" t="s">
        <v>925</v>
      </c>
      <c r="I110" s="1922"/>
    </row>
    <row r="111" spans="1:10" ht="10" customHeight="1">
      <c r="B111" s="1583" t="s">
        <v>1077</v>
      </c>
      <c r="C111" s="1584"/>
      <c r="D111" s="1579"/>
      <c r="E111" s="1579" t="s">
        <v>925</v>
      </c>
      <c r="F111" s="1915" t="s">
        <v>129</v>
      </c>
      <c r="G111" s="1919"/>
      <c r="H111" s="1915" t="s">
        <v>1111</v>
      </c>
      <c r="I111" s="1919"/>
    </row>
    <row r="112" spans="1:10" ht="11" customHeight="1">
      <c r="B112" s="1583" t="s">
        <v>1045</v>
      </c>
      <c r="C112" s="1584"/>
      <c r="D112" s="1592"/>
      <c r="E112" s="1593" t="s">
        <v>419</v>
      </c>
      <c r="F112" s="1921" t="s">
        <v>1053</v>
      </c>
      <c r="G112" s="1923"/>
      <c r="H112" s="1921" t="s">
        <v>907</v>
      </c>
      <c r="I112" s="1922"/>
    </row>
    <row r="113" spans="2:9" ht="10" customHeight="1">
      <c r="B113" s="1583" t="s">
        <v>880</v>
      </c>
      <c r="C113" s="1584"/>
      <c r="D113" s="1592"/>
      <c r="E113" s="1579" t="s">
        <v>939</v>
      </c>
      <c r="F113" s="1915" t="s">
        <v>939</v>
      </c>
      <c r="G113" s="1919"/>
      <c r="H113" s="1579" t="s">
        <v>627</v>
      </c>
      <c r="I113" s="1631" t="s">
        <v>57</v>
      </c>
    </row>
    <row r="114" spans="2:9" ht="10" customHeight="1">
      <c r="B114" s="1585"/>
      <c r="C114" s="1586" t="s">
        <v>934</v>
      </c>
      <c r="D114" s="1630"/>
      <c r="E114" s="1587" t="s">
        <v>940</v>
      </c>
      <c r="F114" s="1926" t="s">
        <v>941</v>
      </c>
      <c r="G114" s="1927"/>
      <c r="H114" s="1926" t="s">
        <v>940</v>
      </c>
      <c r="I114" s="1927"/>
    </row>
    <row r="115" spans="2:9" ht="10" customHeight="1">
      <c r="B115" s="1588" t="s">
        <v>875</v>
      </c>
      <c r="C115" s="1589" t="s">
        <v>942</v>
      </c>
      <c r="D115" s="1628" t="s">
        <v>377</v>
      </c>
      <c r="E115" s="1590">
        <v>50</v>
      </c>
      <c r="F115" s="1912" t="s">
        <v>386</v>
      </c>
      <c r="G115" s="1913"/>
      <c r="H115" s="1912" t="s">
        <v>384</v>
      </c>
      <c r="I115" s="1913"/>
    </row>
    <row r="116" spans="2:9" ht="10" customHeight="1">
      <c r="B116" s="1583" t="s">
        <v>877</v>
      </c>
      <c r="C116" s="1584"/>
      <c r="D116" s="1592"/>
      <c r="E116" s="1593" t="s">
        <v>893</v>
      </c>
      <c r="F116" s="1921" t="s">
        <v>895</v>
      </c>
      <c r="G116" s="1922"/>
      <c r="H116" s="1921" t="s">
        <v>384</v>
      </c>
      <c r="I116" s="1922"/>
    </row>
    <row r="117" spans="2:9" ht="10" customHeight="1">
      <c r="B117" s="1583" t="s">
        <v>1077</v>
      </c>
      <c r="C117" s="1584"/>
      <c r="D117" s="1579"/>
      <c r="E117" s="1579" t="s">
        <v>911</v>
      </c>
      <c r="F117" s="1915" t="s">
        <v>550</v>
      </c>
      <c r="G117" s="1919"/>
      <c r="H117" s="1915" t="s">
        <v>1108</v>
      </c>
      <c r="I117" s="1919"/>
    </row>
    <row r="118" spans="2:9" ht="10" customHeight="1">
      <c r="B118" s="1583" t="s">
        <v>1045</v>
      </c>
      <c r="C118" s="1584"/>
      <c r="D118" s="1592"/>
      <c r="E118" s="1593" t="s">
        <v>910</v>
      </c>
      <c r="F118" s="1921" t="s">
        <v>910</v>
      </c>
      <c r="G118" s="1923"/>
      <c r="H118" s="1921" t="s">
        <v>384</v>
      </c>
      <c r="I118" s="1922"/>
    </row>
    <row r="119" spans="2:9" ht="10" customHeight="1">
      <c r="B119" s="1576" t="s">
        <v>880</v>
      </c>
      <c r="C119" s="1577"/>
      <c r="D119" s="1568"/>
      <c r="E119" s="1632">
        <v>165</v>
      </c>
      <c r="F119" s="1928">
        <v>165</v>
      </c>
      <c r="G119" s="1929"/>
      <c r="H119" s="1579">
        <v>125</v>
      </c>
      <c r="I119" s="1631">
        <v>100</v>
      </c>
    </row>
    <row r="120" spans="2:9" ht="10" customHeight="1">
      <c r="B120" s="1580"/>
      <c r="C120" s="1581" t="s">
        <v>934</v>
      </c>
      <c r="D120" s="1633"/>
      <c r="E120" s="1582" t="s">
        <v>943</v>
      </c>
      <c r="F120" s="1924" t="s">
        <v>943</v>
      </c>
      <c r="G120" s="1925"/>
      <c r="H120" s="1924" t="s">
        <v>943</v>
      </c>
      <c r="I120" s="1925"/>
    </row>
    <row r="121" spans="2:9" ht="10" customHeight="1">
      <c r="B121" s="1574" t="s">
        <v>875</v>
      </c>
      <c r="C121" s="1575" t="s">
        <v>944</v>
      </c>
      <c r="D121" s="1570" t="s">
        <v>377</v>
      </c>
      <c r="E121" s="1492" t="s">
        <v>387</v>
      </c>
      <c r="F121" s="1930">
        <v>20</v>
      </c>
      <c r="G121" s="1931"/>
      <c r="H121" s="1930">
        <v>20</v>
      </c>
      <c r="I121" s="1932"/>
    </row>
    <row r="122" spans="2:9" ht="50" customHeight="1">
      <c r="B122" s="1576" t="s">
        <v>877</v>
      </c>
      <c r="C122" s="1577"/>
      <c r="D122" s="1568"/>
      <c r="E122" s="1634" t="s">
        <v>906</v>
      </c>
      <c r="F122" s="1933" t="s">
        <v>906</v>
      </c>
      <c r="G122" s="1934"/>
      <c r="H122" s="1933" t="s">
        <v>906</v>
      </c>
      <c r="I122" s="1935"/>
    </row>
    <row r="123" spans="2:9" ht="5" customHeight="1">
      <c r="B123" s="1576" t="s">
        <v>1077</v>
      </c>
      <c r="C123" s="1577"/>
      <c r="D123" s="1493"/>
      <c r="E123" s="1493" t="s">
        <v>923</v>
      </c>
      <c r="F123" s="1936" t="s">
        <v>793</v>
      </c>
      <c r="G123" s="1937"/>
      <c r="H123" s="1915" t="s">
        <v>1112</v>
      </c>
      <c r="I123" s="1918"/>
    </row>
    <row r="124" spans="2:9" ht="12" customHeight="1">
      <c r="B124" s="1576" t="s">
        <v>1045</v>
      </c>
      <c r="C124" s="1577"/>
      <c r="D124" s="1568"/>
      <c r="E124" s="1634" t="s">
        <v>1047</v>
      </c>
      <c r="F124" s="1933" t="s">
        <v>1047</v>
      </c>
      <c r="G124" s="1923"/>
      <c r="H124" s="1933" t="s">
        <v>923</v>
      </c>
      <c r="I124" s="1935"/>
    </row>
    <row r="125" spans="2:9" ht="12" customHeight="1">
      <c r="B125" s="1576" t="s">
        <v>880</v>
      </c>
      <c r="C125" s="1577"/>
      <c r="D125" s="1568"/>
      <c r="E125" s="1493">
        <v>30</v>
      </c>
      <c r="F125" s="1936">
        <v>10</v>
      </c>
      <c r="G125" s="1937"/>
      <c r="H125" s="1493">
        <v>6</v>
      </c>
      <c r="I125" s="1569">
        <v>5</v>
      </c>
    </row>
    <row r="126" spans="2:9" ht="12" customHeight="1">
      <c r="B126" s="1580"/>
      <c r="C126" s="1581" t="s">
        <v>934</v>
      </c>
      <c r="D126" s="1633"/>
      <c r="E126" s="1582" t="s">
        <v>943</v>
      </c>
      <c r="F126" s="1924" t="s">
        <v>943</v>
      </c>
      <c r="G126" s="1925"/>
      <c r="H126" s="1924" t="s">
        <v>943</v>
      </c>
      <c r="I126" s="1925"/>
    </row>
    <row r="127" spans="2:9" ht="12" customHeight="1">
      <c r="B127" s="1574" t="s">
        <v>875</v>
      </c>
      <c r="C127" s="1575" t="s">
        <v>945</v>
      </c>
      <c r="D127" s="1570" t="s">
        <v>377</v>
      </c>
      <c r="E127" s="1492" t="s">
        <v>946</v>
      </c>
      <c r="F127" s="1930" t="s">
        <v>947</v>
      </c>
      <c r="G127" s="1931"/>
      <c r="H127" s="1930" t="s">
        <v>947</v>
      </c>
      <c r="I127" s="1932"/>
    </row>
    <row r="128" spans="2:9" ht="12" customHeight="1">
      <c r="B128" s="1576" t="s">
        <v>877</v>
      </c>
      <c r="C128" s="1577"/>
      <c r="D128" s="1568"/>
      <c r="E128" s="1634" t="s">
        <v>948</v>
      </c>
      <c r="F128" s="1933" t="s">
        <v>948</v>
      </c>
      <c r="G128" s="1934"/>
      <c r="H128" s="1933" t="s">
        <v>948</v>
      </c>
      <c r="I128" s="1934"/>
    </row>
    <row r="129" spans="2:9" ht="12" customHeight="1">
      <c r="B129" s="1576" t="s">
        <v>1077</v>
      </c>
      <c r="C129" s="1577"/>
      <c r="D129" s="1493"/>
      <c r="E129" s="1493" t="s">
        <v>1113</v>
      </c>
      <c r="F129" s="1936" t="s">
        <v>1114</v>
      </c>
      <c r="G129" s="1939"/>
      <c r="H129" s="1915" t="s">
        <v>1115</v>
      </c>
      <c r="I129" s="1918"/>
    </row>
    <row r="130" spans="2:9" ht="12" customHeight="1">
      <c r="B130" s="1576" t="s">
        <v>1045</v>
      </c>
      <c r="C130" s="1577"/>
      <c r="D130" s="1568"/>
      <c r="E130" s="1634" t="s">
        <v>948</v>
      </c>
      <c r="F130" s="1933" t="s">
        <v>1054</v>
      </c>
      <c r="G130" s="1923"/>
      <c r="H130" s="1933">
        <v>0.15</v>
      </c>
      <c r="I130" s="1940"/>
    </row>
    <row r="131" spans="2:9" ht="12" customHeight="1">
      <c r="B131" s="1576" t="s">
        <v>880</v>
      </c>
      <c r="C131" s="1577"/>
      <c r="D131" s="1568"/>
      <c r="E131" s="1493">
        <v>0.3</v>
      </c>
      <c r="F131" s="1936">
        <v>0.3</v>
      </c>
      <c r="G131" s="1937"/>
      <c r="H131" s="1493">
        <v>0.25</v>
      </c>
      <c r="I131" s="1569">
        <v>0.2</v>
      </c>
    </row>
    <row r="132" spans="2:9" ht="12" customHeight="1">
      <c r="B132" s="1580"/>
      <c r="C132" s="1581" t="s">
        <v>934</v>
      </c>
      <c r="D132" s="1633"/>
      <c r="E132" s="1582" t="s">
        <v>949</v>
      </c>
      <c r="F132" s="1924" t="s">
        <v>949</v>
      </c>
      <c r="G132" s="1925"/>
      <c r="H132" s="1924" t="s">
        <v>949</v>
      </c>
      <c r="I132" s="1925"/>
    </row>
    <row r="133" spans="2:9" ht="12" customHeight="1">
      <c r="B133" s="1574" t="s">
        <v>875</v>
      </c>
      <c r="C133" s="1577" t="s">
        <v>950</v>
      </c>
      <c r="D133" s="1568" t="s">
        <v>377</v>
      </c>
      <c r="E133" s="1492">
        <v>0.2</v>
      </c>
      <c r="F133" s="1930">
        <v>0.25</v>
      </c>
      <c r="G133" s="1931"/>
      <c r="H133" s="1941" t="s">
        <v>388</v>
      </c>
      <c r="I133" s="1937"/>
    </row>
    <row r="134" spans="2:9" ht="12" customHeight="1">
      <c r="B134" s="1576" t="s">
        <v>877</v>
      </c>
      <c r="C134" s="1577"/>
      <c r="D134" s="1568"/>
      <c r="E134" s="1634" t="s">
        <v>951</v>
      </c>
      <c r="F134" s="1933" t="s">
        <v>951</v>
      </c>
      <c r="G134" s="1934"/>
      <c r="H134" s="1938" t="s">
        <v>952</v>
      </c>
      <c r="I134" s="1934"/>
    </row>
    <row r="135" spans="2:9" ht="12" customHeight="1">
      <c r="B135" s="1576" t="s">
        <v>1077</v>
      </c>
      <c r="C135" s="1577"/>
      <c r="D135" s="1493"/>
      <c r="E135" s="1493" t="s">
        <v>1116</v>
      </c>
      <c r="F135" s="1936" t="s">
        <v>1116</v>
      </c>
      <c r="G135" s="1937"/>
      <c r="H135" s="1915" t="s">
        <v>1117</v>
      </c>
      <c r="I135" s="1918"/>
    </row>
    <row r="136" spans="2:9" ht="12" customHeight="1">
      <c r="B136" s="1576" t="s">
        <v>1045</v>
      </c>
      <c r="C136" s="1577"/>
      <c r="D136" s="1568"/>
      <c r="E136" s="1634" t="s">
        <v>1055</v>
      </c>
      <c r="F136" s="1933" t="s">
        <v>1055</v>
      </c>
      <c r="G136" s="1923"/>
      <c r="H136" s="1938" t="s">
        <v>1056</v>
      </c>
      <c r="I136" s="1934"/>
    </row>
    <row r="137" spans="2:9" ht="12" customHeight="1">
      <c r="B137" s="1576" t="s">
        <v>880</v>
      </c>
      <c r="C137" s="1577"/>
      <c r="D137" s="1568"/>
      <c r="E137" s="1493">
        <v>0.3</v>
      </c>
      <c r="F137" s="1936">
        <v>0.3</v>
      </c>
      <c r="G137" s="1937"/>
      <c r="H137" s="1493">
        <v>0.25</v>
      </c>
      <c r="I137" s="1569">
        <v>0.2</v>
      </c>
    </row>
    <row r="138" spans="2:9" ht="12" customHeight="1">
      <c r="B138" s="1580"/>
      <c r="C138" s="1581" t="s">
        <v>934</v>
      </c>
      <c r="D138" s="1633"/>
      <c r="E138" s="1582" t="s">
        <v>953</v>
      </c>
      <c r="F138" s="1924" t="s">
        <v>954</v>
      </c>
      <c r="G138" s="1925"/>
      <c r="H138" s="1946" t="s">
        <v>954</v>
      </c>
      <c r="I138" s="1925"/>
    </row>
    <row r="139" spans="2:9" ht="12" customHeight="1">
      <c r="B139" s="1942" t="s">
        <v>1118</v>
      </c>
      <c r="C139" s="1943"/>
      <c r="D139" s="1943"/>
      <c r="E139" s="1944"/>
      <c r="F139" s="1944"/>
      <c r="G139" s="1944"/>
      <c r="H139" s="1944"/>
      <c r="I139" s="1945"/>
    </row>
    <row r="140" spans="2:9" ht="5" customHeight="1">
      <c r="C140" s="1494"/>
      <c r="D140" s="1494"/>
      <c r="E140" s="1494"/>
      <c r="F140" s="1494"/>
      <c r="G140" s="1494"/>
      <c r="H140" s="1494"/>
      <c r="I140" s="1494"/>
    </row>
    <row r="141" spans="2:9" ht="12" customHeight="1">
      <c r="C141" s="1495" t="s">
        <v>955</v>
      </c>
      <c r="D141" s="1494"/>
      <c r="E141" s="1494"/>
      <c r="F141" s="1494"/>
      <c r="G141" s="1494"/>
      <c r="H141" s="1494"/>
      <c r="I141" s="1494"/>
    </row>
    <row r="142" spans="2:9" ht="12" customHeight="1">
      <c r="C142" s="1496" t="s">
        <v>956</v>
      </c>
    </row>
    <row r="143" spans="2:9" ht="12" customHeight="1">
      <c r="C143" s="1496" t="s">
        <v>957</v>
      </c>
    </row>
    <row r="144" spans="2:9">
      <c r="C144" s="1496" t="s">
        <v>958</v>
      </c>
    </row>
    <row r="145" spans="1:10">
      <c r="C145" s="1496" t="s">
        <v>959</v>
      </c>
    </row>
    <row r="146" spans="1:10">
      <c r="C146" s="1496" t="s">
        <v>960</v>
      </c>
    </row>
    <row r="147" spans="1:10">
      <c r="C147" s="1496" t="s">
        <v>961</v>
      </c>
    </row>
    <row r="148" spans="1:10">
      <c r="C148" s="1496" t="s">
        <v>1119</v>
      </c>
    </row>
    <row r="149" spans="1:10">
      <c r="C149" s="1502" t="s">
        <v>1120</v>
      </c>
    </row>
    <row r="150" spans="1:10" ht="5" customHeight="1">
      <c r="A150" s="1497"/>
      <c r="B150" s="1497"/>
      <c r="C150" s="1496"/>
      <c r="H150" s="1497"/>
      <c r="I150" s="1497"/>
      <c r="J150" s="1497"/>
    </row>
    <row r="151" spans="1:10">
      <c r="C151" s="1498" t="s">
        <v>853</v>
      </c>
      <c r="D151" s="1499"/>
      <c r="E151" s="1499"/>
      <c r="F151" s="1499"/>
      <c r="G151" s="1499"/>
      <c r="H151" s="1500"/>
      <c r="I151" s="1501"/>
    </row>
    <row r="152" spans="1:10" ht="10" customHeight="1">
      <c r="C152" s="1502" t="s">
        <v>389</v>
      </c>
      <c r="D152" s="1502" t="s">
        <v>1076</v>
      </c>
    </row>
    <row r="153" spans="1:10" ht="10" customHeight="1">
      <c r="C153" s="1502" t="s">
        <v>390</v>
      </c>
      <c r="D153" s="1502" t="s">
        <v>670</v>
      </c>
    </row>
    <row r="154" spans="1:10" ht="10" customHeight="1">
      <c r="C154" s="1502" t="s">
        <v>391</v>
      </c>
      <c r="D154" s="1502" t="s">
        <v>671</v>
      </c>
    </row>
    <row r="155" spans="1:10" ht="10" customHeight="1">
      <c r="C155" s="1502" t="s">
        <v>392</v>
      </c>
      <c r="D155" s="1502" t="s">
        <v>962</v>
      </c>
    </row>
    <row r="156" spans="1:10" ht="10" customHeight="1">
      <c r="D156" s="1502" t="s">
        <v>963</v>
      </c>
    </row>
    <row r="157" spans="1:10" ht="10" customHeight="1">
      <c r="C157" s="1502" t="s">
        <v>393</v>
      </c>
      <c r="D157" s="1502" t="s">
        <v>964</v>
      </c>
    </row>
    <row r="158" spans="1:10" ht="10" customHeight="1">
      <c r="C158" s="1502" t="s">
        <v>394</v>
      </c>
      <c r="D158" s="1502" t="s">
        <v>395</v>
      </c>
    </row>
    <row r="159" spans="1:10" ht="10" customHeight="1">
      <c r="C159" s="1502" t="s">
        <v>396</v>
      </c>
      <c r="D159" s="1502" t="s">
        <v>397</v>
      </c>
    </row>
    <row r="160" spans="1:10" ht="10" customHeight="1">
      <c r="C160" s="1502" t="s">
        <v>398</v>
      </c>
      <c r="D160" s="1502" t="s">
        <v>965</v>
      </c>
    </row>
    <row r="161" ht="5" customHeight="1"/>
  </sheetData>
  <sheetProtection sheet="1" objects="1" scenarios="1" selectLockedCells="1"/>
  <mergeCells count="81">
    <mergeCell ref="B139:I139"/>
    <mergeCell ref="F135:G135"/>
    <mergeCell ref="H135:I135"/>
    <mergeCell ref="F136:G136"/>
    <mergeCell ref="H136:I136"/>
    <mergeCell ref="F137:G137"/>
    <mergeCell ref="F138:G138"/>
    <mergeCell ref="H138:I138"/>
    <mergeCell ref="F134:G134"/>
    <mergeCell ref="H134:I134"/>
    <mergeCell ref="F128:G128"/>
    <mergeCell ref="H128:I128"/>
    <mergeCell ref="F129:G129"/>
    <mergeCell ref="H129:I129"/>
    <mergeCell ref="F130:G130"/>
    <mergeCell ref="H130:I130"/>
    <mergeCell ref="F131:G131"/>
    <mergeCell ref="F132:G132"/>
    <mergeCell ref="H132:I132"/>
    <mergeCell ref="F133:G133"/>
    <mergeCell ref="H133:I133"/>
    <mergeCell ref="F127:G127"/>
    <mergeCell ref="H127:I127"/>
    <mergeCell ref="F121:G121"/>
    <mergeCell ref="H121:I121"/>
    <mergeCell ref="F122:G122"/>
    <mergeCell ref="H122:I122"/>
    <mergeCell ref="F123:G123"/>
    <mergeCell ref="H123:I123"/>
    <mergeCell ref="F124:G124"/>
    <mergeCell ref="H124:I124"/>
    <mergeCell ref="F125:G125"/>
    <mergeCell ref="F126:G126"/>
    <mergeCell ref="H126:I126"/>
    <mergeCell ref="F120:G120"/>
    <mergeCell ref="H120:I120"/>
    <mergeCell ref="F113:G113"/>
    <mergeCell ref="F114:G114"/>
    <mergeCell ref="H114:I114"/>
    <mergeCell ref="F115:G115"/>
    <mergeCell ref="H115:I115"/>
    <mergeCell ref="F116:G116"/>
    <mergeCell ref="H116:I116"/>
    <mergeCell ref="F117:G117"/>
    <mergeCell ref="H117:I117"/>
    <mergeCell ref="F118:G118"/>
    <mergeCell ref="H118:I118"/>
    <mergeCell ref="F119:G119"/>
    <mergeCell ref="F110:G110"/>
    <mergeCell ref="H110:I110"/>
    <mergeCell ref="F111:G111"/>
    <mergeCell ref="H111:I111"/>
    <mergeCell ref="F112:G112"/>
    <mergeCell ref="H112:I112"/>
    <mergeCell ref="F109:G109"/>
    <mergeCell ref="H109:I109"/>
    <mergeCell ref="F103:G103"/>
    <mergeCell ref="H103:I103"/>
    <mergeCell ref="F104:G104"/>
    <mergeCell ref="H104:I104"/>
    <mergeCell ref="F105:G105"/>
    <mergeCell ref="H105:I105"/>
    <mergeCell ref="F106:G106"/>
    <mergeCell ref="H106:I106"/>
    <mergeCell ref="F107:G107"/>
    <mergeCell ref="F108:G108"/>
    <mergeCell ref="H108:I108"/>
    <mergeCell ref="C100:D102"/>
    <mergeCell ref="A5:J5"/>
    <mergeCell ref="C7:D7"/>
    <mergeCell ref="F7:G7"/>
    <mergeCell ref="H7:I7"/>
    <mergeCell ref="C8:D10"/>
    <mergeCell ref="E31:E32"/>
    <mergeCell ref="G31:G32"/>
    <mergeCell ref="H31:H32"/>
    <mergeCell ref="C81:C83"/>
    <mergeCell ref="B98:I98"/>
    <mergeCell ref="C99:D99"/>
    <mergeCell ref="F99:G99"/>
    <mergeCell ref="H99:I99"/>
  </mergeCells>
  <printOptions horizontalCentered="1"/>
  <pageMargins left="0.19685039370078741" right="0.19685039370078741" top="0.19685039370078741" bottom="0.39370078740157483" header="0.51181102362204722" footer="0.51181102362204722"/>
  <pageSetup paperSize="9" scale="99" fitToHeight="2" orientation="portrait"/>
  <headerFooter>
    <oddFooter xml:space="preserve">&amp;C&amp;P
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1553" r:id="rId3" name="Button 1">
              <controlPr defaultSize="0" print="0" autoFill="0" autoPict="0" macro="[0]!Startseite">
                <anchor moveWithCells="1">
                  <from>
                    <xdr:col>1</xdr:col>
                    <xdr:colOff>25400</xdr:colOff>
                    <xdr:row>1</xdr:row>
                    <xdr:rowOff>0</xdr:rowOff>
                  </from>
                  <to>
                    <xdr:col>4</xdr:col>
                    <xdr:colOff>25400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51554" r:id="rId4" name="Button 2">
              <controlPr defaultSize="0" print="0" autoFill="0" autoPict="0" macro="[0]!Futterberechnung">
                <anchor moveWithCells="1">
                  <from>
                    <xdr:col>4</xdr:col>
                    <xdr:colOff>330200</xdr:colOff>
                    <xdr:row>1</xdr:row>
                    <xdr:rowOff>0</xdr:rowOff>
                  </from>
                  <to>
                    <xdr:col>6</xdr:col>
                    <xdr:colOff>558800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51555" r:id="rId5" name="Button 3">
              <controlPr defaultSize="0" print="0" autoFill="0" autoPict="0" macro="[0]!FuMi_Liste">
                <anchor moveWithCells="1">
                  <from>
                    <xdr:col>7</xdr:col>
                    <xdr:colOff>25400</xdr:colOff>
                    <xdr:row>0</xdr:row>
                    <xdr:rowOff>50800</xdr:rowOff>
                  </from>
                  <to>
                    <xdr:col>10</xdr:col>
                    <xdr:colOff>63500</xdr:colOff>
                    <xdr:row>1</xdr:row>
                    <xdr:rowOff>279400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 enableFormatConditionsCalculation="0">
    <tabColor indexed="32"/>
    <pageSetUpPr fitToPage="1"/>
  </sheetPr>
  <dimension ref="B1:AA35"/>
  <sheetViews>
    <sheetView showGridLines="0" showRowColHeaders="0" zoomScale="125" zoomScaleNormal="125" zoomScalePageLayoutView="125" workbookViewId="0">
      <selection activeCell="K27" sqref="K27"/>
    </sheetView>
  </sheetViews>
  <sheetFormatPr baseColWidth="10" defaultRowHeight="12" x14ac:dyDescent="0"/>
  <cols>
    <col min="1" max="1" width="2.1640625" style="991" customWidth="1"/>
    <col min="2" max="2" width="19.83203125" style="993" bestFit="1" customWidth="1"/>
    <col min="3" max="3" width="15.83203125" style="991" customWidth="1"/>
    <col min="4" max="4" width="12.5" style="999" bestFit="1" customWidth="1"/>
    <col min="5" max="5" width="10.83203125" style="996"/>
    <col min="6" max="6" width="16.5" style="996" bestFit="1" customWidth="1"/>
    <col min="7" max="9" width="10.83203125" style="996"/>
    <col min="10" max="16384" width="10.83203125" style="991"/>
  </cols>
  <sheetData>
    <row r="1" spans="2:27" s="990" customFormat="1" ht="5.25" customHeight="1"/>
    <row r="2" spans="2:27" s="990" customFormat="1" ht="24" customHeight="1"/>
    <row r="3" spans="2:27" s="990" customFormat="1" ht="3.75" customHeight="1">
      <c r="Y3" s="991"/>
      <c r="Z3" s="991"/>
      <c r="AA3" s="991"/>
    </row>
    <row r="4" spans="2:27">
      <c r="C4" s="994" t="s">
        <v>215</v>
      </c>
      <c r="D4" s="995" t="s">
        <v>216</v>
      </c>
    </row>
    <row r="5" spans="2:27" ht="13" thickBot="1">
      <c r="D5" s="995" t="s">
        <v>217</v>
      </c>
    </row>
    <row r="6" spans="2:27">
      <c r="B6" s="997" t="s">
        <v>71</v>
      </c>
      <c r="C6" s="998">
        <v>954</v>
      </c>
      <c r="D6" s="1019">
        <v>0.1</v>
      </c>
      <c r="E6" s="996">
        <f>D6*C6/0.78</f>
        <v>122.30769230769231</v>
      </c>
    </row>
    <row r="7" spans="2:27">
      <c r="B7" s="997" t="s">
        <v>72</v>
      </c>
      <c r="C7" s="998">
        <v>584</v>
      </c>
      <c r="D7" s="1020">
        <v>0.03</v>
      </c>
      <c r="E7" s="996">
        <f>D7*C7/0.99</f>
        <v>17.696969696969695</v>
      </c>
    </row>
    <row r="8" spans="2:27">
      <c r="B8" s="997" t="s">
        <v>73</v>
      </c>
      <c r="C8" s="998">
        <v>731</v>
      </c>
      <c r="D8" s="1020">
        <v>2.5000000000000001E-2</v>
      </c>
      <c r="E8" s="996">
        <f>D8*C8/0.98</f>
        <v>18.647959183673471</v>
      </c>
    </row>
    <row r="9" spans="2:27" ht="13" thickBot="1">
      <c r="B9" s="997" t="s">
        <v>74</v>
      </c>
      <c r="C9" s="998">
        <v>853</v>
      </c>
      <c r="D9" s="1021">
        <v>2E-3</v>
      </c>
      <c r="E9" s="996">
        <f>D9*C9/0.98</f>
        <v>1.7408163265306122</v>
      </c>
    </row>
    <row r="10" spans="2:27" ht="13" thickBot="1">
      <c r="B10" s="997"/>
      <c r="C10" s="998"/>
    </row>
    <row r="11" spans="2:27" ht="13" thickBot="1">
      <c r="C11" s="998"/>
      <c r="D11" s="1022" t="s">
        <v>218</v>
      </c>
      <c r="E11" s="1023">
        <f>SUM(E6:E9)</f>
        <v>160.39343751486609</v>
      </c>
      <c r="F11" s="1024" t="s">
        <v>219</v>
      </c>
    </row>
    <row r="12" spans="2:27">
      <c r="C12" s="998"/>
      <c r="D12" s="1000"/>
    </row>
    <row r="13" spans="2:27">
      <c r="C13" s="1001" t="s">
        <v>220</v>
      </c>
    </row>
    <row r="14" spans="2:27">
      <c r="C14" s="998"/>
    </row>
    <row r="15" spans="2:27">
      <c r="C15" s="1002" t="s">
        <v>221</v>
      </c>
      <c r="D15" s="1003"/>
      <c r="E15" s="1004"/>
    </row>
    <row r="16" spans="2:27">
      <c r="C16" s="998"/>
      <c r="D16" s="1003"/>
      <c r="E16" s="1004"/>
    </row>
    <row r="17" spans="2:6">
      <c r="B17" s="997" t="s">
        <v>71</v>
      </c>
      <c r="C17" s="1005">
        <v>19.559999999999999</v>
      </c>
      <c r="D17" s="1006">
        <f>D6</f>
        <v>0.1</v>
      </c>
      <c r="E17" s="996">
        <f>D17*C17/0.78</f>
        <v>2.5076923076923077</v>
      </c>
    </row>
    <row r="18" spans="2:6">
      <c r="B18" s="997" t="s">
        <v>72</v>
      </c>
      <c r="C18" s="1005">
        <v>11.97</v>
      </c>
      <c r="D18" s="1006">
        <f>D7</f>
        <v>0.03</v>
      </c>
      <c r="E18" s="996">
        <f>D18*C18/0.99</f>
        <v>0.36272727272727279</v>
      </c>
    </row>
    <row r="19" spans="2:6">
      <c r="B19" s="997" t="s">
        <v>73</v>
      </c>
      <c r="C19" s="1005">
        <v>14.99</v>
      </c>
      <c r="D19" s="1006">
        <f>D8</f>
        <v>2.5000000000000001E-2</v>
      </c>
      <c r="E19" s="996">
        <f>D19*C19/0.98</f>
        <v>0.38239795918367353</v>
      </c>
    </row>
    <row r="20" spans="2:6">
      <c r="B20" s="997" t="s">
        <v>74</v>
      </c>
      <c r="C20" s="1005">
        <v>17.489999999999998</v>
      </c>
      <c r="D20" s="1006">
        <f>D9</f>
        <v>2E-3</v>
      </c>
      <c r="E20" s="996">
        <f>D20*C20/0.98</f>
        <v>3.5693877551020409E-2</v>
      </c>
    </row>
    <row r="21" spans="2:6" ht="13" thickBot="1">
      <c r="B21" s="997"/>
      <c r="C21" s="1005"/>
    </row>
    <row r="22" spans="2:6" ht="13" thickBot="1">
      <c r="D22" s="1022" t="s">
        <v>218</v>
      </c>
      <c r="E22" s="1025">
        <f>SUM(E17:E20)</f>
        <v>3.2885114171542744</v>
      </c>
      <c r="F22" s="1024" t="s">
        <v>222</v>
      </c>
    </row>
    <row r="24" spans="2:6">
      <c r="C24" s="1947" t="s">
        <v>696</v>
      </c>
      <c r="D24" s="1948"/>
    </row>
    <row r="26" spans="2:6">
      <c r="C26" s="1002" t="s">
        <v>659</v>
      </c>
      <c r="D26" s="1003"/>
      <c r="E26" s="1004"/>
    </row>
    <row r="27" spans="2:6">
      <c r="C27" s="998"/>
      <c r="D27" s="1003"/>
      <c r="E27" s="1004"/>
    </row>
    <row r="28" spans="2:6">
      <c r="B28" s="997" t="s">
        <v>71</v>
      </c>
      <c r="C28" s="1005">
        <f>Futtermittel!M131</f>
        <v>20.513862</v>
      </c>
      <c r="D28" s="1006">
        <f>D17</f>
        <v>0.1</v>
      </c>
      <c r="E28" s="996">
        <f>D28*C28/0.78</f>
        <v>2.6299823076923077</v>
      </c>
    </row>
    <row r="29" spans="2:6">
      <c r="B29" s="997" t="s">
        <v>72</v>
      </c>
      <c r="C29" s="1005">
        <f>Futtermittel!M132</f>
        <v>12.557752000000001</v>
      </c>
      <c r="D29" s="1006">
        <f>D18</f>
        <v>0.03</v>
      </c>
      <c r="E29" s="996">
        <f>D29*C29/0.99</f>
        <v>0.38053793939393937</v>
      </c>
    </row>
    <row r="30" spans="2:6">
      <c r="B30" s="997" t="s">
        <v>73</v>
      </c>
      <c r="C30" s="1005">
        <f>Futtermittel!M133</f>
        <v>15.718693000000002</v>
      </c>
      <c r="D30" s="1006">
        <f>D19</f>
        <v>2.5000000000000001E-2</v>
      </c>
      <c r="E30" s="996">
        <f>D30*C30/0.98</f>
        <v>0.40098706632653069</v>
      </c>
    </row>
    <row r="31" spans="2:6">
      <c r="B31" s="997" t="s">
        <v>74</v>
      </c>
      <c r="C31" s="1005">
        <f>Futtermittel!M134</f>
        <v>18.342059000000003</v>
      </c>
      <c r="D31" s="1006">
        <f>D20</f>
        <v>2E-3</v>
      </c>
      <c r="E31" s="996">
        <f>D31*C31/0.98</f>
        <v>3.7432773469387767E-2</v>
      </c>
    </row>
    <row r="32" spans="2:6" ht="13" thickBot="1">
      <c r="B32" s="997"/>
      <c r="C32" s="1005"/>
    </row>
    <row r="33" spans="3:6" ht="13" thickBot="1">
      <c r="D33" s="1022" t="s">
        <v>218</v>
      </c>
      <c r="E33" s="1025">
        <f>SUM(E28:E31)</f>
        <v>3.4489400868821654</v>
      </c>
      <c r="F33" s="1024" t="s">
        <v>222</v>
      </c>
    </row>
    <row r="35" spans="3:6">
      <c r="C35" s="1947" t="s">
        <v>660</v>
      </c>
      <c r="D35" s="1948"/>
    </row>
  </sheetData>
  <sheetProtection selectLockedCells="1"/>
  <protectedRanges>
    <protectedRange sqref="D6:D9" name="Bereich1_1"/>
  </protectedRanges>
  <customSheetViews>
    <customSheetView guid="{459F3284-99E1-4A46-80B6-CF44B0CB392E}" scale="145">
      <selection activeCell="C4" sqref="C4"/>
      <printOptions horizontalCentered="1"/>
      <pageSetup paperSize="9" orientation="portrait"/>
      <headerFooter alignWithMargins="0"/>
    </customSheetView>
  </customSheetViews>
  <mergeCells count="2">
    <mergeCell ref="C24:D24"/>
    <mergeCell ref="C35:D35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09" r:id="rId3" name="Button 1">
              <controlPr defaultSize="0" print="0" autoFill="0" autoPict="0" macro="[0]!Startseite">
                <anchor moveWithCells="1">
                  <from>
                    <xdr:col>1</xdr:col>
                    <xdr:colOff>25400</xdr:colOff>
                    <xdr:row>1</xdr:row>
                    <xdr:rowOff>0</xdr:rowOff>
                  </from>
                  <to>
                    <xdr:col>2</xdr:col>
                    <xdr:colOff>406400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810" r:id="rId4" name="Button 2">
              <controlPr defaultSize="0" print="0" autoFill="0" autoPict="0" macro="[0]!Futterberechnung">
                <anchor moveWithCells="1">
                  <from>
                    <xdr:col>2</xdr:col>
                    <xdr:colOff>939800</xdr:colOff>
                    <xdr:row>0</xdr:row>
                    <xdr:rowOff>63500</xdr:rowOff>
                  </from>
                  <to>
                    <xdr:col>4</xdr:col>
                    <xdr:colOff>749300</xdr:colOff>
                    <xdr:row>1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811" r:id="rId5" name="Button 3">
              <controlPr defaultSize="0" print="0" autoFill="0" autoPict="0" macro="[0]!FuMi_Liste">
                <anchor moveWithCells="1">
                  <from>
                    <xdr:col>5</xdr:col>
                    <xdr:colOff>482600</xdr:colOff>
                    <xdr:row>0</xdr:row>
                    <xdr:rowOff>38100</xdr:rowOff>
                  </from>
                  <to>
                    <xdr:col>7</xdr:col>
                    <xdr:colOff>330200</xdr:colOff>
                    <xdr:row>1</xdr:row>
                    <xdr:rowOff>279400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>
    <pageSetUpPr fitToPage="1"/>
  </sheetPr>
  <dimension ref="A1:J149"/>
  <sheetViews>
    <sheetView showGridLines="0" showRowColHeaders="0" topLeftCell="C1" zoomScale="150" zoomScaleNormal="150" zoomScalePageLayoutView="150" workbookViewId="0">
      <selection activeCell="J1" sqref="J1:J65536"/>
    </sheetView>
  </sheetViews>
  <sheetFormatPr baseColWidth="10" defaultRowHeight="12" x14ac:dyDescent="0"/>
  <cols>
    <col min="10" max="10" width="11.5" hidden="1" customWidth="1"/>
  </cols>
  <sheetData>
    <row r="1" spans="1:10" s="114" customFormat="1" ht="24">
      <c r="A1" s="112" t="s">
        <v>304</v>
      </c>
      <c r="B1" s="113" t="s">
        <v>768</v>
      </c>
      <c r="C1" s="112" t="s">
        <v>766</v>
      </c>
      <c r="D1" s="113" t="s">
        <v>769</v>
      </c>
      <c r="E1" s="112" t="s">
        <v>770</v>
      </c>
      <c r="F1" s="113" t="s">
        <v>771</v>
      </c>
      <c r="G1" s="112" t="s">
        <v>767</v>
      </c>
      <c r="H1" s="113" t="s">
        <v>772</v>
      </c>
      <c r="I1" s="112" t="s">
        <v>773</v>
      </c>
      <c r="J1" s="1332">
        <f>'Futterkurve Sauen'!K5/2.5</f>
        <v>4</v>
      </c>
    </row>
    <row r="2" spans="1:10" s="115" customFormat="1">
      <c r="A2" s="475">
        <v>1</v>
      </c>
      <c r="B2" s="198">
        <f>IF('Futterkurve Sauen'!$E$6&gt;19,29,29+(19-'Futterkurve Sauen'!$E$6)*0.6)</f>
        <v>29</v>
      </c>
      <c r="C2" s="476">
        <f>B2/'Futterkurve Sauen'!$E$7</f>
        <v>2.4166666666666665</v>
      </c>
      <c r="D2" s="198">
        <f>IF('Futterkurve Sauen'!$E$6&gt;19,32,32+(19-'Futterkurve Sauen'!$E$6)*0.05*12)</f>
        <v>32</v>
      </c>
      <c r="E2" s="476">
        <f>D2/'Futterkurve Sauen'!$C$7</f>
        <v>2.6666666666666665</v>
      </c>
      <c r="F2" s="198">
        <f>IF('Futterkurve Sauen'!$E$6&gt;19,33,33+(19-'Futterkurve Sauen'!$E$6)*0.6)</f>
        <v>33</v>
      </c>
      <c r="G2" s="476">
        <f>F2/'Futterkurve Sauen'!$C$7</f>
        <v>2.75</v>
      </c>
      <c r="H2" s="198">
        <f>IF('Futterkurve Sauen'!$G$6&gt;19,31,31+(19-'Futterkurve Sauen'!$E$6)*0.6)</f>
        <v>31</v>
      </c>
      <c r="I2" s="476">
        <f>H2/'Futterkurve Sauen'!$C$7</f>
        <v>2.5833333333333335</v>
      </c>
      <c r="J2" s="1333">
        <f>'Futterkurve Sauen'!K8/2.5</f>
        <v>6</v>
      </c>
    </row>
    <row r="3" spans="1:10" s="99" customFormat="1">
      <c r="A3" s="103">
        <v>2</v>
      </c>
      <c r="B3" s="196">
        <f>IF('Futterkurve Sauen'!$E$6&gt;19,29,29+(19-'Futterkurve Sauen'!$E$6)*0.6)</f>
        <v>29</v>
      </c>
      <c r="C3" s="197">
        <f>B3/'Futterkurve Sauen'!$E$7</f>
        <v>2.4166666666666665</v>
      </c>
      <c r="D3" s="196">
        <f>IF('Futterkurve Sauen'!$E$6&gt;19,32,32+(19-'Futterkurve Sauen'!$E$6)*0.05*12)</f>
        <v>32</v>
      </c>
      <c r="E3" s="197">
        <f>D3/'Futterkurve Sauen'!$C$7</f>
        <v>2.6666666666666665</v>
      </c>
      <c r="F3" s="196">
        <f>IF('Futterkurve Sauen'!$E$6&gt;19,33,33+(19-'Futterkurve Sauen'!$E$6)*0.6)</f>
        <v>33</v>
      </c>
      <c r="G3" s="197">
        <f>F3/'Futterkurve Sauen'!$C$7</f>
        <v>2.75</v>
      </c>
      <c r="H3" s="196">
        <f>IF('Futterkurve Sauen'!$G$6&gt;19,31,31+(19-'Futterkurve Sauen'!$E$6)*0.6)</f>
        <v>31</v>
      </c>
      <c r="I3" s="197">
        <f>H3/'Futterkurve Sauen'!$C$7</f>
        <v>2.5833333333333335</v>
      </c>
    </row>
    <row r="4" spans="1:10" s="99" customFormat="1">
      <c r="A4" s="103">
        <v>3</v>
      </c>
      <c r="B4" s="196">
        <f>IF('Futterkurve Sauen'!$E$6&gt;19,29,29+(19-'Futterkurve Sauen'!$E$6)*0.6)</f>
        <v>29</v>
      </c>
      <c r="C4" s="197">
        <f>B4/'Futterkurve Sauen'!$E$7</f>
        <v>2.4166666666666665</v>
      </c>
      <c r="D4" s="196">
        <f>IF('Futterkurve Sauen'!$E$6&gt;19,32,32+(19-'Futterkurve Sauen'!$E$6)*0.05*12)</f>
        <v>32</v>
      </c>
      <c r="E4" s="197">
        <f>D4/'Futterkurve Sauen'!$C$7</f>
        <v>2.6666666666666665</v>
      </c>
      <c r="F4" s="196">
        <f>IF('Futterkurve Sauen'!$E$6&gt;19,33,33+(19-'Futterkurve Sauen'!$E$6)*0.6)</f>
        <v>33</v>
      </c>
      <c r="G4" s="197">
        <f>F4/'Futterkurve Sauen'!$C$7</f>
        <v>2.75</v>
      </c>
      <c r="H4" s="196">
        <f>IF('Futterkurve Sauen'!$G$6&gt;19,31,31+(19-'Futterkurve Sauen'!$E$6)*0.6)</f>
        <v>31</v>
      </c>
      <c r="I4" s="197">
        <f>H4/'Futterkurve Sauen'!$C$7</f>
        <v>2.5833333333333335</v>
      </c>
    </row>
    <row r="5" spans="1:10" s="99" customFormat="1">
      <c r="A5" s="103">
        <v>4</v>
      </c>
      <c r="B5" s="196">
        <f>IF('Futterkurve Sauen'!$E$6&gt;19,29,29+(19-'Futterkurve Sauen'!$E$6)*0.6)</f>
        <v>29</v>
      </c>
      <c r="C5" s="197">
        <f>B5/'Futterkurve Sauen'!$E$7</f>
        <v>2.4166666666666665</v>
      </c>
      <c r="D5" s="196">
        <f>IF('Futterkurve Sauen'!$E$6&gt;19,32,32+(19-'Futterkurve Sauen'!$E$6)*0.05*12)</f>
        <v>32</v>
      </c>
      <c r="E5" s="197">
        <f>D5/'Futterkurve Sauen'!$C$7</f>
        <v>2.6666666666666665</v>
      </c>
      <c r="F5" s="196">
        <f>IF('Futterkurve Sauen'!$E$6&gt;19,33,33+(19-'Futterkurve Sauen'!$E$6)*0.6)</f>
        <v>33</v>
      </c>
      <c r="G5" s="197">
        <f>F5/'Futterkurve Sauen'!$C$7</f>
        <v>2.75</v>
      </c>
      <c r="H5" s="196">
        <f>IF('Futterkurve Sauen'!$G$6&gt;19,31,31+(19-'Futterkurve Sauen'!$E$6)*0.6)</f>
        <v>31</v>
      </c>
      <c r="I5" s="197">
        <f>H5/'Futterkurve Sauen'!$C$7</f>
        <v>2.5833333333333335</v>
      </c>
    </row>
    <row r="6" spans="1:10" s="99" customFormat="1">
      <c r="A6" s="103">
        <v>5</v>
      </c>
      <c r="B6" s="196">
        <f>IF('Futterkurve Sauen'!$E$6&gt;19,29,29+(19-'Futterkurve Sauen'!$E$6)*0.6)</f>
        <v>29</v>
      </c>
      <c r="C6" s="197">
        <f>B6/'Futterkurve Sauen'!$E$7</f>
        <v>2.4166666666666665</v>
      </c>
      <c r="D6" s="196">
        <f>IF('Futterkurve Sauen'!$E$6&gt;19,32,32+(19-'Futterkurve Sauen'!$E$6)*0.05*12)</f>
        <v>32</v>
      </c>
      <c r="E6" s="197">
        <f>D6/'Futterkurve Sauen'!$C$7</f>
        <v>2.6666666666666665</v>
      </c>
      <c r="F6" s="196">
        <f>IF('Futterkurve Sauen'!$E$6&gt;19,33,33+(19-'Futterkurve Sauen'!$E$6)*0.6)</f>
        <v>33</v>
      </c>
      <c r="G6" s="197">
        <f>F6/'Futterkurve Sauen'!$C$7</f>
        <v>2.75</v>
      </c>
      <c r="H6" s="196">
        <f>IF('Futterkurve Sauen'!$G$6&gt;19,31,31+(19-'Futterkurve Sauen'!$E$6)*0.6)</f>
        <v>31</v>
      </c>
      <c r="I6" s="197">
        <f>H6/'Futterkurve Sauen'!$C$7</f>
        <v>2.5833333333333335</v>
      </c>
    </row>
    <row r="7" spans="1:10" s="99" customFormat="1">
      <c r="A7" s="103">
        <v>6</v>
      </c>
      <c r="B7" s="196">
        <f>IF('Futterkurve Sauen'!$E$6&gt;19,29,29+(19-'Futterkurve Sauen'!$E$6)*0.6)</f>
        <v>29</v>
      </c>
      <c r="C7" s="197">
        <f>B7/'Futterkurve Sauen'!$E$7</f>
        <v>2.4166666666666665</v>
      </c>
      <c r="D7" s="196">
        <f>IF('Futterkurve Sauen'!$E$6&gt;19,32,32+(19-'Futterkurve Sauen'!$E$6)*0.05*12)</f>
        <v>32</v>
      </c>
      <c r="E7" s="197">
        <f>D7/'Futterkurve Sauen'!$C$7</f>
        <v>2.6666666666666665</v>
      </c>
      <c r="F7" s="196">
        <f>IF('Futterkurve Sauen'!$E$6&gt;19,33,33+(19-'Futterkurve Sauen'!$E$6)*0.6)</f>
        <v>33</v>
      </c>
      <c r="G7" s="197">
        <f>F7/'Futterkurve Sauen'!$C$7</f>
        <v>2.75</v>
      </c>
      <c r="H7" s="196">
        <f>IF('Futterkurve Sauen'!$G$6&gt;19,31,31+(19-'Futterkurve Sauen'!$E$6)*0.6)</f>
        <v>31</v>
      </c>
      <c r="I7" s="197">
        <f>H7/'Futterkurve Sauen'!$C$7</f>
        <v>2.5833333333333335</v>
      </c>
    </row>
    <row r="8" spans="1:10" s="99" customFormat="1">
      <c r="A8" s="103">
        <v>7</v>
      </c>
      <c r="B8" s="196">
        <f>IF('Futterkurve Sauen'!$E$6&gt;19,29,29+(19-'Futterkurve Sauen'!$E$6)*0.6)</f>
        <v>29</v>
      </c>
      <c r="C8" s="197">
        <f>B8/'Futterkurve Sauen'!$E$7</f>
        <v>2.4166666666666665</v>
      </c>
      <c r="D8" s="196">
        <f>IF('Futterkurve Sauen'!$E$6&gt;19,32,32+(19-'Futterkurve Sauen'!$E$6)*0.05*12)</f>
        <v>32</v>
      </c>
      <c r="E8" s="197">
        <f>D8/'Futterkurve Sauen'!$C$7</f>
        <v>2.6666666666666665</v>
      </c>
      <c r="F8" s="196">
        <f>IF('Futterkurve Sauen'!$E$6&gt;19,33,33+(19-'Futterkurve Sauen'!$E$6)*0.6)</f>
        <v>33</v>
      </c>
      <c r="G8" s="197">
        <f>F8/'Futterkurve Sauen'!$C$7</f>
        <v>2.75</v>
      </c>
      <c r="H8" s="196">
        <f>IF('Futterkurve Sauen'!$G$6&gt;19,31,31+(19-'Futterkurve Sauen'!$E$6)*0.6)</f>
        <v>31</v>
      </c>
      <c r="I8" s="197">
        <f>H8/'Futterkurve Sauen'!$C$7</f>
        <v>2.5833333333333335</v>
      </c>
    </row>
    <row r="9" spans="1:10" s="99" customFormat="1">
      <c r="A9" s="103">
        <v>8</v>
      </c>
      <c r="B9" s="196">
        <f>IF('Futterkurve Sauen'!$E$6&gt;19,29,29+(19-'Futterkurve Sauen'!$E$6)*0.6)</f>
        <v>29</v>
      </c>
      <c r="C9" s="197">
        <f>B9/'Futterkurve Sauen'!$E$7</f>
        <v>2.4166666666666665</v>
      </c>
      <c r="D9" s="196">
        <f>IF('Futterkurve Sauen'!$E$6&gt;19,32,32+(19-'Futterkurve Sauen'!$E$6)*0.05*12)</f>
        <v>32</v>
      </c>
      <c r="E9" s="197">
        <f>D9/'Futterkurve Sauen'!$C$7</f>
        <v>2.6666666666666665</v>
      </c>
      <c r="F9" s="196">
        <f>IF('Futterkurve Sauen'!$E$6&gt;19,33,33+(19-'Futterkurve Sauen'!$E$6)*0.6)</f>
        <v>33</v>
      </c>
      <c r="G9" s="197">
        <f>F9/'Futterkurve Sauen'!$C$7</f>
        <v>2.75</v>
      </c>
      <c r="H9" s="196">
        <f>IF('Futterkurve Sauen'!$G$6&gt;19,31,31+(19-'Futterkurve Sauen'!$E$6)*0.6)</f>
        <v>31</v>
      </c>
      <c r="I9" s="197">
        <f>H9/'Futterkurve Sauen'!$C$7</f>
        <v>2.5833333333333335</v>
      </c>
    </row>
    <row r="10" spans="1:10" s="99" customFormat="1">
      <c r="A10" s="103">
        <v>9</v>
      </c>
      <c r="B10" s="196">
        <f>IF('Futterkurve Sauen'!$E$6&gt;19,29,29+(19-'Futterkurve Sauen'!$E$6)*0.6)</f>
        <v>29</v>
      </c>
      <c r="C10" s="197">
        <f>B10/'Futterkurve Sauen'!$E$7</f>
        <v>2.4166666666666665</v>
      </c>
      <c r="D10" s="196">
        <f>IF('Futterkurve Sauen'!$E$6&gt;19,32,32+(19-'Futterkurve Sauen'!$E$6)*0.05*12)</f>
        <v>32</v>
      </c>
      <c r="E10" s="197">
        <f>D10/'Futterkurve Sauen'!$C$7</f>
        <v>2.6666666666666665</v>
      </c>
      <c r="F10" s="196">
        <f>IF('Futterkurve Sauen'!$E$6&gt;19,33,33+(19-'Futterkurve Sauen'!$E$6)*0.6)</f>
        <v>33</v>
      </c>
      <c r="G10" s="197">
        <f>F10/'Futterkurve Sauen'!$C$7</f>
        <v>2.75</v>
      </c>
      <c r="H10" s="196">
        <f>IF('Futterkurve Sauen'!$G$6&gt;19,31,31+(19-'Futterkurve Sauen'!$E$6)*0.6)</f>
        <v>31</v>
      </c>
      <c r="I10" s="197">
        <f>H10/'Futterkurve Sauen'!$C$7</f>
        <v>2.5833333333333335</v>
      </c>
    </row>
    <row r="11" spans="1:10" s="99" customFormat="1">
      <c r="A11" s="103">
        <v>10</v>
      </c>
      <c r="B11" s="196">
        <f>IF('Futterkurve Sauen'!$E$6&gt;19,29,29+(19-'Futterkurve Sauen'!$E$6)*0.6)</f>
        <v>29</v>
      </c>
      <c r="C11" s="197">
        <f>B11/'Futterkurve Sauen'!$E$7</f>
        <v>2.4166666666666665</v>
      </c>
      <c r="D11" s="196">
        <f>IF('Futterkurve Sauen'!$E$6&gt;19,32,32+(19-'Futterkurve Sauen'!$E$6)*0.05*12)</f>
        <v>32</v>
      </c>
      <c r="E11" s="197">
        <f>D11/'Futterkurve Sauen'!$C$7</f>
        <v>2.6666666666666665</v>
      </c>
      <c r="F11" s="196">
        <f>IF('Futterkurve Sauen'!$E$6&gt;19,33,33+(19-'Futterkurve Sauen'!$E$6)*0.6)</f>
        <v>33</v>
      </c>
      <c r="G11" s="197">
        <f>F11/'Futterkurve Sauen'!$C$7</f>
        <v>2.75</v>
      </c>
      <c r="H11" s="196">
        <f>IF('Futterkurve Sauen'!$G$6&gt;19,31,31+(19-'Futterkurve Sauen'!$E$6)*0.6)</f>
        <v>31</v>
      </c>
      <c r="I11" s="197">
        <f>H11/'Futterkurve Sauen'!$C$7</f>
        <v>2.5833333333333335</v>
      </c>
    </row>
    <row r="12" spans="1:10" s="99" customFormat="1">
      <c r="A12" s="103">
        <v>11</v>
      </c>
      <c r="B12" s="196">
        <f>IF('Futterkurve Sauen'!$E$6&gt;19,29,29+(19-'Futterkurve Sauen'!$E$6)*0.6)</f>
        <v>29</v>
      </c>
      <c r="C12" s="197">
        <f>B12/'Futterkurve Sauen'!$E$7</f>
        <v>2.4166666666666665</v>
      </c>
      <c r="D12" s="196">
        <f>IF('Futterkurve Sauen'!$E$6&gt;19,32,32+(19-'Futterkurve Sauen'!$E$6)*0.05*12)</f>
        <v>32</v>
      </c>
      <c r="E12" s="197">
        <f>D12/'Futterkurve Sauen'!$C$7</f>
        <v>2.6666666666666665</v>
      </c>
      <c r="F12" s="196">
        <f>IF('Futterkurve Sauen'!$E$6&gt;19,33,33+(19-'Futterkurve Sauen'!$E$6)*0.6)</f>
        <v>33</v>
      </c>
      <c r="G12" s="197">
        <f>F12/'Futterkurve Sauen'!$C$7</f>
        <v>2.75</v>
      </c>
      <c r="H12" s="196">
        <f>IF('Futterkurve Sauen'!$G$6&gt;19,31,31+(19-'Futterkurve Sauen'!$E$6)*0.6)</f>
        <v>31</v>
      </c>
      <c r="I12" s="197">
        <f>H12/'Futterkurve Sauen'!$C$7</f>
        <v>2.5833333333333335</v>
      </c>
    </row>
    <row r="13" spans="1:10" s="99" customFormat="1">
      <c r="A13" s="103">
        <v>12</v>
      </c>
      <c r="B13" s="196">
        <f>IF('Futterkurve Sauen'!$E$6&gt;19,29,29+(19-'Futterkurve Sauen'!$E$6)*0.6)</f>
        <v>29</v>
      </c>
      <c r="C13" s="197">
        <f>B13/'Futterkurve Sauen'!$E$7</f>
        <v>2.4166666666666665</v>
      </c>
      <c r="D13" s="196">
        <f>IF('Futterkurve Sauen'!$E$6&gt;19,32,32+(19-'Futterkurve Sauen'!$E$6)*0.05*12)</f>
        <v>32</v>
      </c>
      <c r="E13" s="197">
        <f>D13/'Futterkurve Sauen'!$C$7</f>
        <v>2.6666666666666665</v>
      </c>
      <c r="F13" s="196">
        <f>IF('Futterkurve Sauen'!$E$6&gt;19,33,33+(19-'Futterkurve Sauen'!$E$6)*0.6)</f>
        <v>33</v>
      </c>
      <c r="G13" s="197">
        <f>F13/'Futterkurve Sauen'!$C$7</f>
        <v>2.75</v>
      </c>
      <c r="H13" s="196">
        <f>IF('Futterkurve Sauen'!$G$6&gt;19,31,31+(19-'Futterkurve Sauen'!$E$6)*0.6)</f>
        <v>31</v>
      </c>
      <c r="I13" s="197">
        <f>H13/'Futterkurve Sauen'!$C$7</f>
        <v>2.5833333333333335</v>
      </c>
    </row>
    <row r="14" spans="1:10" s="99" customFormat="1">
      <c r="A14" s="103">
        <v>13</v>
      </c>
      <c r="B14" s="196">
        <f>IF('Futterkurve Sauen'!$E$6&gt;19,29,29+(19-'Futterkurve Sauen'!$E$6)*0.6)</f>
        <v>29</v>
      </c>
      <c r="C14" s="197">
        <f>B14/'Futterkurve Sauen'!$E$7</f>
        <v>2.4166666666666665</v>
      </c>
      <c r="D14" s="196">
        <f>IF('Futterkurve Sauen'!$E$6&gt;19,32,32+(19-'Futterkurve Sauen'!$E$6)*0.05*12)</f>
        <v>32</v>
      </c>
      <c r="E14" s="197">
        <f>D14/'Futterkurve Sauen'!$C$7</f>
        <v>2.6666666666666665</v>
      </c>
      <c r="F14" s="196">
        <f>IF('Futterkurve Sauen'!$E$6&gt;19,33,33+(19-'Futterkurve Sauen'!$E$6)*0.6)</f>
        <v>33</v>
      </c>
      <c r="G14" s="197">
        <f>F14/'Futterkurve Sauen'!$C$7</f>
        <v>2.75</v>
      </c>
      <c r="H14" s="196">
        <f>IF('Futterkurve Sauen'!$G$6&gt;19,31,31+(19-'Futterkurve Sauen'!$E$6)*0.6)</f>
        <v>31</v>
      </c>
      <c r="I14" s="197">
        <f>H14/'Futterkurve Sauen'!$C$7</f>
        <v>2.5833333333333335</v>
      </c>
    </row>
    <row r="15" spans="1:10" s="99" customFormat="1">
      <c r="A15" s="103">
        <v>14</v>
      </c>
      <c r="B15" s="196">
        <f>IF('Futterkurve Sauen'!$E$6&gt;19,29,29+(19-'Futterkurve Sauen'!$E$6)*0.6)</f>
        <v>29</v>
      </c>
      <c r="C15" s="197">
        <f>B15/'Futterkurve Sauen'!$E$7</f>
        <v>2.4166666666666665</v>
      </c>
      <c r="D15" s="196">
        <f>IF('Futterkurve Sauen'!$E$6&gt;19,32,32+(19-'Futterkurve Sauen'!$E$6)*0.05*12)</f>
        <v>32</v>
      </c>
      <c r="E15" s="197">
        <f>D15/'Futterkurve Sauen'!$C$7</f>
        <v>2.6666666666666665</v>
      </c>
      <c r="F15" s="196">
        <f>IF('Futterkurve Sauen'!$E$6&gt;19,33,33+(19-'Futterkurve Sauen'!$E$6)*0.6)</f>
        <v>33</v>
      </c>
      <c r="G15" s="197">
        <f>F15/'Futterkurve Sauen'!$C$7</f>
        <v>2.75</v>
      </c>
      <c r="H15" s="196">
        <f>IF('Futterkurve Sauen'!$G$6&gt;19,31,31+(19-'Futterkurve Sauen'!$E$6)*0.6)</f>
        <v>31</v>
      </c>
      <c r="I15" s="197">
        <f>H15/'Futterkurve Sauen'!$C$7</f>
        <v>2.5833333333333335</v>
      </c>
    </row>
    <row r="16" spans="1:10" s="99" customFormat="1">
      <c r="A16" s="103">
        <v>15</v>
      </c>
      <c r="B16" s="196">
        <f>IF('Futterkurve Sauen'!$E$6&gt;19,29,29+(19-'Futterkurve Sauen'!$E$6)*0.6)</f>
        <v>29</v>
      </c>
      <c r="C16" s="197">
        <f>B16/'Futterkurve Sauen'!$E$7</f>
        <v>2.4166666666666665</v>
      </c>
      <c r="D16" s="196">
        <f>IF('Futterkurve Sauen'!$E$6&gt;19,32,32+(19-'Futterkurve Sauen'!$E$6)*0.05*12)</f>
        <v>32</v>
      </c>
      <c r="E16" s="197">
        <f>D16/'Futterkurve Sauen'!$C$7</f>
        <v>2.6666666666666665</v>
      </c>
      <c r="F16" s="196">
        <f>IF('Futterkurve Sauen'!$E$6&gt;19,33,33+(19-'Futterkurve Sauen'!$E$6)*0.6)</f>
        <v>33</v>
      </c>
      <c r="G16" s="197">
        <f>F16/'Futterkurve Sauen'!$C$7</f>
        <v>2.75</v>
      </c>
      <c r="H16" s="196">
        <f>IF('Futterkurve Sauen'!$G$6&gt;19,31,31+(19-'Futterkurve Sauen'!$E$6)*0.6)</f>
        <v>31</v>
      </c>
      <c r="I16" s="197">
        <f>H16/'Futterkurve Sauen'!$C$7</f>
        <v>2.5833333333333335</v>
      </c>
    </row>
    <row r="17" spans="1:9" s="99" customFormat="1">
      <c r="A17" s="103">
        <v>16</v>
      </c>
      <c r="B17" s="196">
        <f>IF('Futterkurve Sauen'!$E$6&gt;19,29,29+(19-'Futterkurve Sauen'!$E$6)*0.6)</f>
        <v>29</v>
      </c>
      <c r="C17" s="197">
        <f>B17/'Futterkurve Sauen'!$E$7</f>
        <v>2.4166666666666665</v>
      </c>
      <c r="D17" s="196">
        <f>IF('Futterkurve Sauen'!$E$6&gt;19,32,32+(19-'Futterkurve Sauen'!$E$6)*0.05*12)</f>
        <v>32</v>
      </c>
      <c r="E17" s="197">
        <f>D17/'Futterkurve Sauen'!$C$7</f>
        <v>2.6666666666666665</v>
      </c>
      <c r="F17" s="196">
        <f>IF('Futterkurve Sauen'!$E$6&gt;19,33,33+(19-'Futterkurve Sauen'!$E$6)*0.6)</f>
        <v>33</v>
      </c>
      <c r="G17" s="197">
        <f>F17/'Futterkurve Sauen'!$C$7</f>
        <v>2.75</v>
      </c>
      <c r="H17" s="196">
        <f>IF('Futterkurve Sauen'!$G$6&gt;19,31,31+(19-'Futterkurve Sauen'!$E$6)*0.6)</f>
        <v>31</v>
      </c>
      <c r="I17" s="197">
        <f>H17/'Futterkurve Sauen'!$C$7</f>
        <v>2.5833333333333335</v>
      </c>
    </row>
    <row r="18" spans="1:9" s="99" customFormat="1">
      <c r="A18" s="103">
        <v>17</v>
      </c>
      <c r="B18" s="196">
        <f>IF('Futterkurve Sauen'!$E$6&gt;19,29,29+(19-'Futterkurve Sauen'!$E$6)*0.6)</f>
        <v>29</v>
      </c>
      <c r="C18" s="197">
        <f>B18/'Futterkurve Sauen'!$E$7</f>
        <v>2.4166666666666665</v>
      </c>
      <c r="D18" s="196">
        <f>IF('Futterkurve Sauen'!$E$6&gt;19,32,32+(19-'Futterkurve Sauen'!$E$6)*0.05*12)</f>
        <v>32</v>
      </c>
      <c r="E18" s="197">
        <f>D18/'Futterkurve Sauen'!$C$7</f>
        <v>2.6666666666666665</v>
      </c>
      <c r="F18" s="196">
        <f>IF('Futterkurve Sauen'!$E$6&gt;19,33,33+(19-'Futterkurve Sauen'!$E$6)*0.6)</f>
        <v>33</v>
      </c>
      <c r="G18" s="197">
        <f>F18/'Futterkurve Sauen'!$C$7</f>
        <v>2.75</v>
      </c>
      <c r="H18" s="196">
        <f>IF('Futterkurve Sauen'!$G$6&gt;19,31,31+(19-'Futterkurve Sauen'!$E$6)*0.6)</f>
        <v>31</v>
      </c>
      <c r="I18" s="197">
        <f>H18/'Futterkurve Sauen'!$C$7</f>
        <v>2.5833333333333335</v>
      </c>
    </row>
    <row r="19" spans="1:9" s="99" customFormat="1">
      <c r="A19" s="103">
        <v>18</v>
      </c>
      <c r="B19" s="196">
        <f>IF('Futterkurve Sauen'!$E$6&gt;19,29,29+(19-'Futterkurve Sauen'!$E$6)*0.6)</f>
        <v>29</v>
      </c>
      <c r="C19" s="197">
        <f>B19/'Futterkurve Sauen'!$E$7</f>
        <v>2.4166666666666665</v>
      </c>
      <c r="D19" s="196">
        <f>IF('Futterkurve Sauen'!$E$6&gt;19,32,32+(19-'Futterkurve Sauen'!$E$6)*0.05*12)</f>
        <v>32</v>
      </c>
      <c r="E19" s="197">
        <f>D19/'Futterkurve Sauen'!$C$7</f>
        <v>2.6666666666666665</v>
      </c>
      <c r="F19" s="196">
        <f>IF('Futterkurve Sauen'!$E$6&gt;19,33,33+(19-'Futterkurve Sauen'!$E$6)*0.6)</f>
        <v>33</v>
      </c>
      <c r="G19" s="197">
        <f>F19/'Futterkurve Sauen'!$C$7</f>
        <v>2.75</v>
      </c>
      <c r="H19" s="196">
        <f>IF('Futterkurve Sauen'!$G$6&gt;19,31,31+(19-'Futterkurve Sauen'!$E$6)*0.6)</f>
        <v>31</v>
      </c>
      <c r="I19" s="197">
        <f>H19/'Futterkurve Sauen'!$C$7</f>
        <v>2.5833333333333335</v>
      </c>
    </row>
    <row r="20" spans="1:9" s="99" customFormat="1">
      <c r="A20" s="103">
        <v>19</v>
      </c>
      <c r="B20" s="196">
        <f>IF('Futterkurve Sauen'!$E$6&gt;19,29,29+(19-'Futterkurve Sauen'!$E$6)*0.6)</f>
        <v>29</v>
      </c>
      <c r="C20" s="197">
        <f>B20/'Futterkurve Sauen'!$E$7</f>
        <v>2.4166666666666665</v>
      </c>
      <c r="D20" s="196">
        <f>IF('Futterkurve Sauen'!$E$6&gt;19,32,32+(19-'Futterkurve Sauen'!$E$6)*0.05*12)</f>
        <v>32</v>
      </c>
      <c r="E20" s="197">
        <f>D20/'Futterkurve Sauen'!$C$7</f>
        <v>2.6666666666666665</v>
      </c>
      <c r="F20" s="196">
        <f>IF('Futterkurve Sauen'!$E$6&gt;19,33,33+(19-'Futterkurve Sauen'!$E$6)*0.6)</f>
        <v>33</v>
      </c>
      <c r="G20" s="197">
        <f>F20/'Futterkurve Sauen'!$C$7</f>
        <v>2.75</v>
      </c>
      <c r="H20" s="196">
        <f>IF('Futterkurve Sauen'!$G$6&gt;19,31,31+(19-'Futterkurve Sauen'!$E$6)*0.6)</f>
        <v>31</v>
      </c>
      <c r="I20" s="197">
        <f>H20/'Futterkurve Sauen'!$C$7</f>
        <v>2.5833333333333335</v>
      </c>
    </row>
    <row r="21" spans="1:9" s="99" customFormat="1">
      <c r="A21" s="103">
        <v>20</v>
      </c>
      <c r="B21" s="196">
        <f>IF('Futterkurve Sauen'!$E$6&gt;19,29,29+(19-'Futterkurve Sauen'!$E$6)*0.6)</f>
        <v>29</v>
      </c>
      <c r="C21" s="197">
        <f>B21/'Futterkurve Sauen'!$E$7</f>
        <v>2.4166666666666665</v>
      </c>
      <c r="D21" s="196">
        <f>IF('Futterkurve Sauen'!$E$6&gt;19,32,32+(19-'Futterkurve Sauen'!$E$6)*0.05*12)</f>
        <v>32</v>
      </c>
      <c r="E21" s="197">
        <f>D21/'Futterkurve Sauen'!$C$7</f>
        <v>2.6666666666666665</v>
      </c>
      <c r="F21" s="196">
        <f>IF('Futterkurve Sauen'!$E$6&gt;19,33,33+(19-'Futterkurve Sauen'!$E$6)*0.6)</f>
        <v>33</v>
      </c>
      <c r="G21" s="197">
        <f>F21/'Futterkurve Sauen'!$C$7</f>
        <v>2.75</v>
      </c>
      <c r="H21" s="196">
        <f>IF('Futterkurve Sauen'!$G$6&gt;19,31,31+(19-'Futterkurve Sauen'!$E$6)*0.6)</f>
        <v>31</v>
      </c>
      <c r="I21" s="197">
        <f>H21/'Futterkurve Sauen'!$C$7</f>
        <v>2.5833333333333335</v>
      </c>
    </row>
    <row r="22" spans="1:9" s="99" customFormat="1">
      <c r="A22" s="103">
        <v>21</v>
      </c>
      <c r="B22" s="196">
        <f>IF('Futterkurve Sauen'!$E$6&gt;19,29,29+(19-'Futterkurve Sauen'!$E$6)*0.6)</f>
        <v>29</v>
      </c>
      <c r="C22" s="197">
        <f>B22/'Futterkurve Sauen'!$E$7</f>
        <v>2.4166666666666665</v>
      </c>
      <c r="D22" s="196">
        <f>IF('Futterkurve Sauen'!$E$6&gt;19,32,32+(19-'Futterkurve Sauen'!$E$6)*0.05*12)</f>
        <v>32</v>
      </c>
      <c r="E22" s="197">
        <f>D22/'Futterkurve Sauen'!$C$7</f>
        <v>2.6666666666666665</v>
      </c>
      <c r="F22" s="196">
        <f>IF('Futterkurve Sauen'!$E$6&gt;19,33,33+(19-'Futterkurve Sauen'!$E$6)*0.6)</f>
        <v>33</v>
      </c>
      <c r="G22" s="197">
        <f>F22/'Futterkurve Sauen'!$C$7</f>
        <v>2.75</v>
      </c>
      <c r="H22" s="196">
        <f>IF('Futterkurve Sauen'!$G$6&gt;19,31,31+(19-'Futterkurve Sauen'!$E$6)*0.6)</f>
        <v>31</v>
      </c>
      <c r="I22" s="197">
        <f>H22/'Futterkurve Sauen'!$C$7</f>
        <v>2.5833333333333335</v>
      </c>
    </row>
    <row r="23" spans="1:9" s="99" customFormat="1">
      <c r="A23" s="103">
        <v>22</v>
      </c>
      <c r="B23" s="196">
        <f>IF('Futterkurve Sauen'!$E$6&gt;19,29,29+(19-'Futterkurve Sauen'!$E$6)*0.6)</f>
        <v>29</v>
      </c>
      <c r="C23" s="197">
        <f>B23/'Futterkurve Sauen'!$E$7</f>
        <v>2.4166666666666665</v>
      </c>
      <c r="D23" s="196">
        <f>IF('Futterkurve Sauen'!$E$6&gt;19,32,32+(19-'Futterkurve Sauen'!$E$6)*0.05*12)</f>
        <v>32</v>
      </c>
      <c r="E23" s="197">
        <f>D23/'Futterkurve Sauen'!$C$7</f>
        <v>2.6666666666666665</v>
      </c>
      <c r="F23" s="196">
        <f>IF('Futterkurve Sauen'!$E$6&gt;19,33,33+(19-'Futterkurve Sauen'!$E$6)*0.6)</f>
        <v>33</v>
      </c>
      <c r="G23" s="197">
        <f>F23/'Futterkurve Sauen'!$C$7</f>
        <v>2.75</v>
      </c>
      <c r="H23" s="196">
        <f>IF('Futterkurve Sauen'!$G$6&gt;19,31,31+(19-'Futterkurve Sauen'!$E$6)*0.6)</f>
        <v>31</v>
      </c>
      <c r="I23" s="197">
        <f>H23/'Futterkurve Sauen'!$C$7</f>
        <v>2.5833333333333335</v>
      </c>
    </row>
    <row r="24" spans="1:9" s="99" customFormat="1">
      <c r="A24" s="103">
        <v>23</v>
      </c>
      <c r="B24" s="196">
        <f>IF('Futterkurve Sauen'!$E$6&gt;19,29,29+(19-'Futterkurve Sauen'!$E$6)*0.6)</f>
        <v>29</v>
      </c>
      <c r="C24" s="197">
        <f>B24/'Futterkurve Sauen'!$E$7</f>
        <v>2.4166666666666665</v>
      </c>
      <c r="D24" s="196">
        <f>IF('Futterkurve Sauen'!$E$6&gt;19,32,32+(19-'Futterkurve Sauen'!$E$6)*0.05*12)</f>
        <v>32</v>
      </c>
      <c r="E24" s="197">
        <f>D24/'Futterkurve Sauen'!$C$7</f>
        <v>2.6666666666666665</v>
      </c>
      <c r="F24" s="196">
        <f>IF('Futterkurve Sauen'!$E$6&gt;19,33,33+(19-'Futterkurve Sauen'!$E$6)*0.6)</f>
        <v>33</v>
      </c>
      <c r="G24" s="197">
        <f>F24/'Futterkurve Sauen'!$C$7</f>
        <v>2.75</v>
      </c>
      <c r="H24" s="196">
        <f>IF('Futterkurve Sauen'!$G$6&gt;19,31,31+(19-'Futterkurve Sauen'!$E$6)*0.6)</f>
        <v>31</v>
      </c>
      <c r="I24" s="197">
        <f>H24/'Futterkurve Sauen'!$C$7</f>
        <v>2.5833333333333335</v>
      </c>
    </row>
    <row r="25" spans="1:9" s="99" customFormat="1">
      <c r="A25" s="103">
        <v>24</v>
      </c>
      <c r="B25" s="196">
        <f>IF('Futterkurve Sauen'!$E$6&gt;19,29,29+(19-'Futterkurve Sauen'!$E$6)*0.6)</f>
        <v>29</v>
      </c>
      <c r="C25" s="197">
        <f>B25/'Futterkurve Sauen'!$E$7</f>
        <v>2.4166666666666665</v>
      </c>
      <c r="D25" s="196">
        <f>IF('Futterkurve Sauen'!$E$6&gt;19,32,32+(19-'Futterkurve Sauen'!$E$6)*0.05*12)</f>
        <v>32</v>
      </c>
      <c r="E25" s="197">
        <f>D25/'Futterkurve Sauen'!$C$7</f>
        <v>2.6666666666666665</v>
      </c>
      <c r="F25" s="196">
        <f>IF('Futterkurve Sauen'!$E$6&gt;19,33,33+(19-'Futterkurve Sauen'!$E$6)*0.6)</f>
        <v>33</v>
      </c>
      <c r="G25" s="197">
        <f>F25/'Futterkurve Sauen'!$C$7</f>
        <v>2.75</v>
      </c>
      <c r="H25" s="196">
        <f>IF('Futterkurve Sauen'!$G$6&gt;19,31,31+(19-'Futterkurve Sauen'!$E$6)*0.6)</f>
        <v>31</v>
      </c>
      <c r="I25" s="197">
        <f>H25/'Futterkurve Sauen'!$C$7</f>
        <v>2.5833333333333335</v>
      </c>
    </row>
    <row r="26" spans="1:9" s="99" customFormat="1">
      <c r="A26" s="103">
        <v>25</v>
      </c>
      <c r="B26" s="196">
        <f>IF('Futterkurve Sauen'!$E$6&gt;19,29,29+(19-'Futterkurve Sauen'!$E$6)*0.6)</f>
        <v>29</v>
      </c>
      <c r="C26" s="197">
        <f>B26/'Futterkurve Sauen'!$E$7</f>
        <v>2.4166666666666665</v>
      </c>
      <c r="D26" s="196">
        <f>IF('Futterkurve Sauen'!$E$6&gt;19,32,32+(19-'Futterkurve Sauen'!$E$6)*0.05*12)</f>
        <v>32</v>
      </c>
      <c r="E26" s="197">
        <f>D26/'Futterkurve Sauen'!$C$7</f>
        <v>2.6666666666666665</v>
      </c>
      <c r="F26" s="196">
        <f>IF('Futterkurve Sauen'!$E$6&gt;19,33,33+(19-'Futterkurve Sauen'!$E$6)*0.6)</f>
        <v>33</v>
      </c>
      <c r="G26" s="197">
        <f>F26/'Futterkurve Sauen'!$C$7</f>
        <v>2.75</v>
      </c>
      <c r="H26" s="196">
        <f>IF('Futterkurve Sauen'!$G$6&gt;19,31,31+(19-'Futterkurve Sauen'!$E$6)*0.6)</f>
        <v>31</v>
      </c>
      <c r="I26" s="197">
        <f>H26/'Futterkurve Sauen'!$C$7</f>
        <v>2.5833333333333335</v>
      </c>
    </row>
    <row r="27" spans="1:9" s="99" customFormat="1">
      <c r="A27" s="103">
        <v>26</v>
      </c>
      <c r="B27" s="196">
        <f>IF('Futterkurve Sauen'!$E$6&gt;19,29,29+(19-'Futterkurve Sauen'!$E$6)*0.6)</f>
        <v>29</v>
      </c>
      <c r="C27" s="197">
        <f>B27/'Futterkurve Sauen'!$E$7</f>
        <v>2.4166666666666665</v>
      </c>
      <c r="D27" s="196">
        <f>IF('Futterkurve Sauen'!$E$6&gt;19,32,32+(19-'Futterkurve Sauen'!$E$6)*0.05*12)</f>
        <v>32</v>
      </c>
      <c r="E27" s="197">
        <f>D27/'Futterkurve Sauen'!$C$7</f>
        <v>2.6666666666666665</v>
      </c>
      <c r="F27" s="196">
        <f>IF('Futterkurve Sauen'!$E$6&gt;19,33,33+(19-'Futterkurve Sauen'!$E$6)*0.6)</f>
        <v>33</v>
      </c>
      <c r="G27" s="197">
        <f>F27/'Futterkurve Sauen'!$C$7</f>
        <v>2.75</v>
      </c>
      <c r="H27" s="196">
        <f>IF('Futterkurve Sauen'!$G$6&gt;19,31,31+(19-'Futterkurve Sauen'!$E$6)*0.6)</f>
        <v>31</v>
      </c>
      <c r="I27" s="197">
        <f>H27/'Futterkurve Sauen'!$C$7</f>
        <v>2.5833333333333335</v>
      </c>
    </row>
    <row r="28" spans="1:9" s="99" customFormat="1">
      <c r="A28" s="103">
        <v>27</v>
      </c>
      <c r="B28" s="196">
        <f>IF('Futterkurve Sauen'!$E$6&gt;19,29,29+(19-'Futterkurve Sauen'!$E$6)*0.6)</f>
        <v>29</v>
      </c>
      <c r="C28" s="197">
        <f>B28/'Futterkurve Sauen'!$E$7</f>
        <v>2.4166666666666665</v>
      </c>
      <c r="D28" s="196">
        <f>IF('Futterkurve Sauen'!$E$6&gt;19,32,32+(19-'Futterkurve Sauen'!$E$6)*0.05*12)</f>
        <v>32</v>
      </c>
      <c r="E28" s="197">
        <f>D28/'Futterkurve Sauen'!$C$7</f>
        <v>2.6666666666666665</v>
      </c>
      <c r="F28" s="196">
        <f>IF('Futterkurve Sauen'!$E$6&gt;19,33,33+(19-'Futterkurve Sauen'!$E$6)*0.6)</f>
        <v>33</v>
      </c>
      <c r="G28" s="197">
        <f>F28/'Futterkurve Sauen'!$C$7</f>
        <v>2.75</v>
      </c>
      <c r="H28" s="196">
        <f>IF('Futterkurve Sauen'!$G$6&gt;19,31,31+(19-'Futterkurve Sauen'!$E$6)*0.6)</f>
        <v>31</v>
      </c>
      <c r="I28" s="197">
        <f>H28/'Futterkurve Sauen'!$C$7</f>
        <v>2.5833333333333335</v>
      </c>
    </row>
    <row r="29" spans="1:9" s="99" customFormat="1">
      <c r="A29" s="477">
        <v>28</v>
      </c>
      <c r="B29" s="201">
        <f>IF('Futterkurve Sauen'!$E$6&gt;19,29,29+(19-'Futterkurve Sauen'!$E$6)*0.6)</f>
        <v>29</v>
      </c>
      <c r="C29" s="478">
        <f>B29/'Futterkurve Sauen'!$E$7</f>
        <v>2.4166666666666665</v>
      </c>
      <c r="D29" s="201">
        <f>IF('Futterkurve Sauen'!$E$6&gt;19,32,32+(19-'Futterkurve Sauen'!$E$6)*0.05*12)</f>
        <v>32</v>
      </c>
      <c r="E29" s="478">
        <f>D29/'Futterkurve Sauen'!$C$7</f>
        <v>2.6666666666666665</v>
      </c>
      <c r="F29" s="201">
        <f>IF('Futterkurve Sauen'!$E$6&gt;19,33,33+(19-'Futterkurve Sauen'!$E$6)*0.6)</f>
        <v>33</v>
      </c>
      <c r="G29" s="478">
        <f>F29/'Futterkurve Sauen'!$C$7</f>
        <v>2.75</v>
      </c>
      <c r="H29" s="201">
        <f>IF('Futterkurve Sauen'!$G$6&gt;19,31,31+(19-'Futterkurve Sauen'!$E$6)*0.6)</f>
        <v>31</v>
      </c>
      <c r="I29" s="478">
        <f>H29/'Futterkurve Sauen'!$C$7</f>
        <v>2.5833333333333335</v>
      </c>
    </row>
    <row r="30" spans="1:9" s="99" customFormat="1">
      <c r="A30" s="110">
        <v>29</v>
      </c>
      <c r="B30" s="215">
        <f>IF('Futterkurve Sauen'!G$6&gt;14,29+J$1,29+(14-'Futterkurve Sauen'!$G$6)*0.3+J$1)</f>
        <v>33</v>
      </c>
      <c r="C30" s="225">
        <f>B30/'Futterkurve Sauen'!$E$7</f>
        <v>2.75</v>
      </c>
      <c r="D30" s="215">
        <f>IF('Futterkurve Sauen'!G$6&gt;14,32+J$2,32+J$2+(14-'Futterkurve Sauen'!$G$6)*0.3)</f>
        <v>38</v>
      </c>
      <c r="E30" s="225">
        <f>D30/'Futterkurve Sauen'!$C$7</f>
        <v>3.1666666666666665</v>
      </c>
      <c r="F30" s="221">
        <f>IF('Futterkurve Sauen'!G$6&gt;14,33+J$2,33+J$2+(14-'Futterkurve Sauen'!$G$6)*0.3)</f>
        <v>39</v>
      </c>
      <c r="G30" s="225">
        <f>F30/'Futterkurve Sauen'!$C$7</f>
        <v>3.25</v>
      </c>
      <c r="H30" s="221">
        <f>IF('Futterkurve Sauen'!G$6&gt;14,32+J$2,31+J$2+(14-'Futterkurve Sauen'!$G$6)*0.3)</f>
        <v>37</v>
      </c>
      <c r="I30" s="225">
        <f>H30/'Futterkurve Sauen'!$C$7</f>
        <v>3.0833333333333335</v>
      </c>
    </row>
    <row r="31" spans="1:9" s="99" customFormat="1">
      <c r="A31" s="110">
        <v>30</v>
      </c>
      <c r="B31" s="126">
        <f>IF('Futterkurve Sauen'!G$6&gt;14,29+J$1,29+(14-'Futterkurve Sauen'!$G$6)*0.3+J$1)</f>
        <v>33</v>
      </c>
      <c r="C31" s="111">
        <f>B31/'Futterkurve Sauen'!$E$7</f>
        <v>2.75</v>
      </c>
      <c r="D31" s="126">
        <f>IF('Futterkurve Sauen'!G$6&gt;14,32+J$2,32+J$2+(14-'Futterkurve Sauen'!$G$6)*0.3)</f>
        <v>38</v>
      </c>
      <c r="E31" s="111">
        <f>D31/'Futterkurve Sauen'!$C$7</f>
        <v>3.1666666666666665</v>
      </c>
      <c r="F31" s="131">
        <f>IF('Futterkurve Sauen'!G$6&gt;14,33+J$2,33+J$2+(14-'Futterkurve Sauen'!$G$6)*0.3)</f>
        <v>39</v>
      </c>
      <c r="G31" s="111">
        <f>F31/'Futterkurve Sauen'!$C$7</f>
        <v>3.25</v>
      </c>
      <c r="H31" s="131">
        <f>IF('Futterkurve Sauen'!G$6&gt;14,32+J$2,31+J$2+(14-'Futterkurve Sauen'!$G$6)*0.3)</f>
        <v>37</v>
      </c>
      <c r="I31" s="111">
        <f>H31/'Futterkurve Sauen'!$C$7</f>
        <v>3.0833333333333335</v>
      </c>
    </row>
    <row r="32" spans="1:9" s="99" customFormat="1">
      <c r="A32" s="110">
        <v>31</v>
      </c>
      <c r="B32" s="126">
        <f>IF('Futterkurve Sauen'!G$6&gt;14,29+J$1,29+(14-'Futterkurve Sauen'!$G$6)*0.3+J$1)</f>
        <v>33</v>
      </c>
      <c r="C32" s="111">
        <f>B32/'Futterkurve Sauen'!$E$7</f>
        <v>2.75</v>
      </c>
      <c r="D32" s="126">
        <f>IF('Futterkurve Sauen'!G$6&gt;14,32+J$2,32+J$2+(14-'Futterkurve Sauen'!$G$6)*0.3)</f>
        <v>38</v>
      </c>
      <c r="E32" s="111">
        <f>D32/'Futterkurve Sauen'!$C$7</f>
        <v>3.1666666666666665</v>
      </c>
      <c r="F32" s="131">
        <f>IF('Futterkurve Sauen'!G$6&gt;14,33+J$2,33+J$2+(14-'Futterkurve Sauen'!$G$6)*0.3)</f>
        <v>39</v>
      </c>
      <c r="G32" s="111">
        <f>F32/'Futterkurve Sauen'!$C$7</f>
        <v>3.25</v>
      </c>
      <c r="H32" s="131">
        <f>IF('Futterkurve Sauen'!G$6&gt;14,32+J$2,31+J$2+(14-'Futterkurve Sauen'!$G$6)*0.3)</f>
        <v>37</v>
      </c>
      <c r="I32" s="111">
        <f>H32/'Futterkurve Sauen'!$C$7</f>
        <v>3.0833333333333335</v>
      </c>
    </row>
    <row r="33" spans="1:9" s="99" customFormat="1">
      <c r="A33" s="110">
        <v>32</v>
      </c>
      <c r="B33" s="126">
        <f>IF('Futterkurve Sauen'!G$6&gt;14,29+J$1,29+(14-'Futterkurve Sauen'!$G$6)*0.3+J$1)</f>
        <v>33</v>
      </c>
      <c r="C33" s="111">
        <f>B33/'Futterkurve Sauen'!$E$7</f>
        <v>2.75</v>
      </c>
      <c r="D33" s="126">
        <f>IF('Futterkurve Sauen'!G$6&gt;14,32+J$2,32+J$2+(14-'Futterkurve Sauen'!$G$6)*0.3)</f>
        <v>38</v>
      </c>
      <c r="E33" s="111">
        <f>D33/'Futterkurve Sauen'!$C$7</f>
        <v>3.1666666666666665</v>
      </c>
      <c r="F33" s="131">
        <f>IF('Futterkurve Sauen'!G$6&gt;14,33+J$2,33+J$2+(14-'Futterkurve Sauen'!$G$6)*0.3)</f>
        <v>39</v>
      </c>
      <c r="G33" s="111">
        <f>F33/'Futterkurve Sauen'!$C$7</f>
        <v>3.25</v>
      </c>
      <c r="H33" s="131">
        <f>IF('Futterkurve Sauen'!G$6&gt;14,32+J$2,31+J$2+(14-'Futterkurve Sauen'!$G$6)*0.3)</f>
        <v>37</v>
      </c>
      <c r="I33" s="111">
        <f>H33/'Futterkurve Sauen'!$C$7</f>
        <v>3.0833333333333335</v>
      </c>
    </row>
    <row r="34" spans="1:9" s="99" customFormat="1">
      <c r="A34" s="110">
        <v>33</v>
      </c>
      <c r="B34" s="126">
        <f>IF('Futterkurve Sauen'!G$6&gt;14,29+J$1,29+(14-'Futterkurve Sauen'!$G$6)*0.3+J$1)</f>
        <v>33</v>
      </c>
      <c r="C34" s="111">
        <f>B34/'Futterkurve Sauen'!$E$7</f>
        <v>2.75</v>
      </c>
      <c r="D34" s="126">
        <f>IF('Futterkurve Sauen'!G$6&gt;14,32+J$2,32+J$2+(14-'Futterkurve Sauen'!$G$6)*0.3)</f>
        <v>38</v>
      </c>
      <c r="E34" s="111">
        <f>D34/'Futterkurve Sauen'!$C$7</f>
        <v>3.1666666666666665</v>
      </c>
      <c r="F34" s="131">
        <f>IF('Futterkurve Sauen'!G$6&gt;14,33+J$2,33+J$2+(14-'Futterkurve Sauen'!$G$6)*0.3)</f>
        <v>39</v>
      </c>
      <c r="G34" s="111">
        <f>F34/'Futterkurve Sauen'!$C$7</f>
        <v>3.25</v>
      </c>
      <c r="H34" s="131">
        <f>IF('Futterkurve Sauen'!G$6&gt;14,32+J$2,31+J$2+(14-'Futterkurve Sauen'!$G$6)*0.3)</f>
        <v>37</v>
      </c>
      <c r="I34" s="111">
        <f>H34/'Futterkurve Sauen'!$C$7</f>
        <v>3.0833333333333335</v>
      </c>
    </row>
    <row r="35" spans="1:9" s="99" customFormat="1">
      <c r="A35" s="110">
        <v>34</v>
      </c>
      <c r="B35" s="126">
        <f>IF('Futterkurve Sauen'!G$6&gt;14,29+J$1,29+(14-'Futterkurve Sauen'!$G$6)*0.3+J$1)</f>
        <v>33</v>
      </c>
      <c r="C35" s="111">
        <f>B35/'Futterkurve Sauen'!$E$7</f>
        <v>2.75</v>
      </c>
      <c r="D35" s="126">
        <f>IF('Futterkurve Sauen'!G$6&gt;14,32+J$2,32+J$2+(14-'Futterkurve Sauen'!$G$6)*0.3)</f>
        <v>38</v>
      </c>
      <c r="E35" s="111">
        <f>D35/'Futterkurve Sauen'!$C$7</f>
        <v>3.1666666666666665</v>
      </c>
      <c r="F35" s="131">
        <f>IF('Futterkurve Sauen'!G$6&gt;14,33+J$2,33+J$2+(14-'Futterkurve Sauen'!$G$6)*0.3)</f>
        <v>39</v>
      </c>
      <c r="G35" s="111">
        <f>F35/'Futterkurve Sauen'!$C$7</f>
        <v>3.25</v>
      </c>
      <c r="H35" s="131">
        <f>IF('Futterkurve Sauen'!G$6&gt;14,32+J$2,31+J$2+(14-'Futterkurve Sauen'!$G$6)*0.3)</f>
        <v>37</v>
      </c>
      <c r="I35" s="111">
        <f>H35/'Futterkurve Sauen'!$C$7</f>
        <v>3.0833333333333335</v>
      </c>
    </row>
    <row r="36" spans="1:9" s="99" customFormat="1">
      <c r="A36" s="110">
        <v>35</v>
      </c>
      <c r="B36" s="126">
        <f>IF('Futterkurve Sauen'!G$6&gt;14,29+J$1,29+(14-'Futterkurve Sauen'!$G$6)*0.3+J$1)</f>
        <v>33</v>
      </c>
      <c r="C36" s="111">
        <f>B36/'Futterkurve Sauen'!$E$7</f>
        <v>2.75</v>
      </c>
      <c r="D36" s="126">
        <f>IF('Futterkurve Sauen'!G$6&gt;14,32+J$2,32+J$2+(14-'Futterkurve Sauen'!$G$6)*0.3)</f>
        <v>38</v>
      </c>
      <c r="E36" s="111">
        <f>D36/'Futterkurve Sauen'!$C$7</f>
        <v>3.1666666666666665</v>
      </c>
      <c r="F36" s="131">
        <f>IF('Futterkurve Sauen'!G$6&gt;14,33+J$2,33+J$2+(14-'Futterkurve Sauen'!$G$6)*0.3)</f>
        <v>39</v>
      </c>
      <c r="G36" s="111">
        <f>F36/'Futterkurve Sauen'!$C$7</f>
        <v>3.25</v>
      </c>
      <c r="H36" s="131">
        <f>IF('Futterkurve Sauen'!G$6&gt;14,32+J$2,31+J$2+(14-'Futterkurve Sauen'!$G$6)*0.3)</f>
        <v>37</v>
      </c>
      <c r="I36" s="111">
        <f>H36/'Futterkurve Sauen'!$C$7</f>
        <v>3.0833333333333335</v>
      </c>
    </row>
    <row r="37" spans="1:9" s="99" customFormat="1">
      <c r="A37" s="110">
        <v>36</v>
      </c>
      <c r="B37" s="126">
        <f>IF('Futterkurve Sauen'!G$6&gt;14,29+J$1,29+(14-'Futterkurve Sauen'!$G$6)*0.3+J$1)</f>
        <v>33</v>
      </c>
      <c r="C37" s="111">
        <f>B37/'Futterkurve Sauen'!$E$7</f>
        <v>2.75</v>
      </c>
      <c r="D37" s="126">
        <f>IF('Futterkurve Sauen'!G$6&gt;14,32+J$2,32+J$2+(14-'Futterkurve Sauen'!$G$6)*0.3)</f>
        <v>38</v>
      </c>
      <c r="E37" s="111">
        <f>D37/'Futterkurve Sauen'!$C$7</f>
        <v>3.1666666666666665</v>
      </c>
      <c r="F37" s="131">
        <f>IF('Futterkurve Sauen'!G$6&gt;14,33+J$2,33+J$2+(14-'Futterkurve Sauen'!$G$6)*0.3)</f>
        <v>39</v>
      </c>
      <c r="G37" s="111">
        <f>F37/'Futterkurve Sauen'!$C$7</f>
        <v>3.25</v>
      </c>
      <c r="H37" s="131">
        <f>IF('Futterkurve Sauen'!G$6&gt;14,32+J$2,31+J$2+(14-'Futterkurve Sauen'!$G$6)*0.3)</f>
        <v>37</v>
      </c>
      <c r="I37" s="111">
        <f>H37/'Futterkurve Sauen'!$C$7</f>
        <v>3.0833333333333335</v>
      </c>
    </row>
    <row r="38" spans="1:9" s="99" customFormat="1">
      <c r="A38" s="110">
        <v>37</v>
      </c>
      <c r="B38" s="126">
        <f>IF('Futterkurve Sauen'!G$6&gt;14,29+J$1,29+(14-'Futterkurve Sauen'!$G$6)*0.3+J$1)</f>
        <v>33</v>
      </c>
      <c r="C38" s="111">
        <f>B38/'Futterkurve Sauen'!$E$7</f>
        <v>2.75</v>
      </c>
      <c r="D38" s="126">
        <f>IF('Futterkurve Sauen'!G$6&gt;14,32+J$2,32+J$2+(14-'Futterkurve Sauen'!$G$6)*0.3)</f>
        <v>38</v>
      </c>
      <c r="E38" s="111">
        <f>D38/'Futterkurve Sauen'!$C$7</f>
        <v>3.1666666666666665</v>
      </c>
      <c r="F38" s="131">
        <f>IF('Futterkurve Sauen'!G$6&gt;14,33+J$2,33+J$2+(14-'Futterkurve Sauen'!$G$6)*0.3)</f>
        <v>39</v>
      </c>
      <c r="G38" s="111">
        <f>F38/'Futterkurve Sauen'!$C$7</f>
        <v>3.25</v>
      </c>
      <c r="H38" s="131">
        <f>IF('Futterkurve Sauen'!G$6&gt;14,32+J$2,31+J$2+(14-'Futterkurve Sauen'!$G$6)*0.3)</f>
        <v>37</v>
      </c>
      <c r="I38" s="111">
        <f>H38/'Futterkurve Sauen'!$C$7</f>
        <v>3.0833333333333335</v>
      </c>
    </row>
    <row r="39" spans="1:9" s="99" customFormat="1">
      <c r="A39" s="110">
        <v>38</v>
      </c>
      <c r="B39" s="126">
        <f>IF('Futterkurve Sauen'!G$6&gt;14,29+J$1,29+(14-'Futterkurve Sauen'!$G$6)*0.3+J$1)</f>
        <v>33</v>
      </c>
      <c r="C39" s="111">
        <f>B39/'Futterkurve Sauen'!$E$7</f>
        <v>2.75</v>
      </c>
      <c r="D39" s="126">
        <f>IF('Futterkurve Sauen'!G$6&gt;14,32+J$2,32+J$2+(14-'Futterkurve Sauen'!$G$6)*0.3)</f>
        <v>38</v>
      </c>
      <c r="E39" s="111">
        <f>D39/'Futterkurve Sauen'!$C$7</f>
        <v>3.1666666666666665</v>
      </c>
      <c r="F39" s="131">
        <f>IF('Futterkurve Sauen'!G$6&gt;14,33+J$2,33+J$2+(14-'Futterkurve Sauen'!$G$6)*0.3)</f>
        <v>39</v>
      </c>
      <c r="G39" s="111">
        <f>F39/'Futterkurve Sauen'!$C$7</f>
        <v>3.25</v>
      </c>
      <c r="H39" s="131">
        <f>IF('Futterkurve Sauen'!G$6&gt;14,32+J$2,31+J$2+(14-'Futterkurve Sauen'!$G$6)*0.3)</f>
        <v>37</v>
      </c>
      <c r="I39" s="111">
        <f>H39/'Futterkurve Sauen'!$C$7</f>
        <v>3.0833333333333335</v>
      </c>
    </row>
    <row r="40" spans="1:9" s="99" customFormat="1">
      <c r="A40" s="110">
        <v>39</v>
      </c>
      <c r="B40" s="126">
        <f>IF('Futterkurve Sauen'!G$6&gt;14,29+J$1,29+(14-'Futterkurve Sauen'!$G$6)*0.3+J$1)</f>
        <v>33</v>
      </c>
      <c r="C40" s="111">
        <f>B40/'Futterkurve Sauen'!$E$7</f>
        <v>2.75</v>
      </c>
      <c r="D40" s="126">
        <f>IF('Futterkurve Sauen'!G$6&gt;14,32+J$2,32+J$2+(14-'Futterkurve Sauen'!$G$6)*0.3)</f>
        <v>38</v>
      </c>
      <c r="E40" s="111">
        <f>D40/'Futterkurve Sauen'!$C$7</f>
        <v>3.1666666666666665</v>
      </c>
      <c r="F40" s="131">
        <f>IF('Futterkurve Sauen'!G$6&gt;14,33+J$2,33+J$2+(14-'Futterkurve Sauen'!$G$6)*0.3)</f>
        <v>39</v>
      </c>
      <c r="G40" s="111">
        <f>F40/'Futterkurve Sauen'!$C$7</f>
        <v>3.25</v>
      </c>
      <c r="H40" s="131">
        <f>IF('Futterkurve Sauen'!G$6&gt;14,32+J$2,31+J$2+(14-'Futterkurve Sauen'!$G$6)*0.3)</f>
        <v>37</v>
      </c>
      <c r="I40" s="111">
        <f>H40/'Futterkurve Sauen'!$C$7</f>
        <v>3.0833333333333335</v>
      </c>
    </row>
    <row r="41" spans="1:9" s="99" customFormat="1">
      <c r="A41" s="110">
        <v>40</v>
      </c>
      <c r="B41" s="126">
        <f>IF('Futterkurve Sauen'!G$6&gt;14,29+J$1,29+(14-'Futterkurve Sauen'!$G$6)*0.3+J$1)</f>
        <v>33</v>
      </c>
      <c r="C41" s="111">
        <f>B41/'Futterkurve Sauen'!$E$7</f>
        <v>2.75</v>
      </c>
      <c r="D41" s="126">
        <f>IF('Futterkurve Sauen'!G$6&gt;14,32+J$2,32+J$2+(14-'Futterkurve Sauen'!$G$6)*0.3)</f>
        <v>38</v>
      </c>
      <c r="E41" s="111">
        <f>D41/'Futterkurve Sauen'!$C$7</f>
        <v>3.1666666666666665</v>
      </c>
      <c r="F41" s="131">
        <f>IF('Futterkurve Sauen'!G$6&gt;14,33+J$2,33+J$2+(14-'Futterkurve Sauen'!$G$6)*0.3)</f>
        <v>39</v>
      </c>
      <c r="G41" s="111">
        <f>F41/'Futterkurve Sauen'!$C$7</f>
        <v>3.25</v>
      </c>
      <c r="H41" s="131">
        <f>IF('Futterkurve Sauen'!G$6&gt;14,32+J$2,31+J$2+(14-'Futterkurve Sauen'!$G$6)*0.3)</f>
        <v>37</v>
      </c>
      <c r="I41" s="111">
        <f>H41/'Futterkurve Sauen'!$C$7</f>
        <v>3.0833333333333335</v>
      </c>
    </row>
    <row r="42" spans="1:9" s="99" customFormat="1">
      <c r="A42" s="110">
        <v>41</v>
      </c>
      <c r="B42" s="126">
        <f>IF('Futterkurve Sauen'!G$6&gt;14,29+J$1,29+(14-'Futterkurve Sauen'!$G$6)*0.3+J$1)</f>
        <v>33</v>
      </c>
      <c r="C42" s="111">
        <f>B42/'Futterkurve Sauen'!$E$7</f>
        <v>2.75</v>
      </c>
      <c r="D42" s="126">
        <f>IF('Futterkurve Sauen'!G$6&gt;14,32+J$2,32+J$2+(14-'Futterkurve Sauen'!$G$6)*0.3)</f>
        <v>38</v>
      </c>
      <c r="E42" s="111">
        <f>D42/'Futterkurve Sauen'!$C$7</f>
        <v>3.1666666666666665</v>
      </c>
      <c r="F42" s="131">
        <f>IF('Futterkurve Sauen'!G$6&gt;14,33+J$2,33+J$2+(14-'Futterkurve Sauen'!$G$6)*0.3)</f>
        <v>39</v>
      </c>
      <c r="G42" s="111">
        <f>F42/'Futterkurve Sauen'!$C$7</f>
        <v>3.25</v>
      </c>
      <c r="H42" s="131">
        <f>IF('Futterkurve Sauen'!G$6&gt;14,32+J$2,31+J$2+(14-'Futterkurve Sauen'!$G$6)*0.3)</f>
        <v>37</v>
      </c>
      <c r="I42" s="111">
        <f>H42/'Futterkurve Sauen'!$C$7</f>
        <v>3.0833333333333335</v>
      </c>
    </row>
    <row r="43" spans="1:9" s="99" customFormat="1">
      <c r="A43" s="110">
        <v>42</v>
      </c>
      <c r="B43" s="126">
        <f>IF('Futterkurve Sauen'!G$6&gt;14,29+J$1,29+(14-'Futterkurve Sauen'!$G$6)*0.3+J$1)</f>
        <v>33</v>
      </c>
      <c r="C43" s="111">
        <f>B43/'Futterkurve Sauen'!$E$7</f>
        <v>2.75</v>
      </c>
      <c r="D43" s="126">
        <f>IF('Futterkurve Sauen'!G$6&gt;14,32+J$2,32+J$2+(14-'Futterkurve Sauen'!$G$6)*0.3)</f>
        <v>38</v>
      </c>
      <c r="E43" s="111">
        <f>D43/'Futterkurve Sauen'!$C$7</f>
        <v>3.1666666666666665</v>
      </c>
      <c r="F43" s="131">
        <f>IF('Futterkurve Sauen'!G$6&gt;14,33+J$2,33+J$2+(14-'Futterkurve Sauen'!$G$6)*0.3)</f>
        <v>39</v>
      </c>
      <c r="G43" s="111">
        <f>F43/'Futterkurve Sauen'!$C$7</f>
        <v>3.25</v>
      </c>
      <c r="H43" s="131">
        <f>IF('Futterkurve Sauen'!G$6&gt;14,32+J$2,31+J$2+(14-'Futterkurve Sauen'!$G$6)*0.3)</f>
        <v>37</v>
      </c>
      <c r="I43" s="111">
        <f>H43/'Futterkurve Sauen'!$C$7</f>
        <v>3.0833333333333335</v>
      </c>
    </row>
    <row r="44" spans="1:9" s="99" customFormat="1">
      <c r="A44" s="110">
        <v>43</v>
      </c>
      <c r="B44" s="126">
        <f>IF('Futterkurve Sauen'!G$6&gt;14,29+J$1,29+(14-'Futterkurve Sauen'!$G$6)*0.3+J$1)</f>
        <v>33</v>
      </c>
      <c r="C44" s="111">
        <f>B44/'Futterkurve Sauen'!$E$7</f>
        <v>2.75</v>
      </c>
      <c r="D44" s="126">
        <f>IF('Futterkurve Sauen'!G$6&gt;14,32+J$2,32+J$2+(14-'Futterkurve Sauen'!$G$6)*0.3)</f>
        <v>38</v>
      </c>
      <c r="E44" s="111">
        <f>D44/'Futterkurve Sauen'!$C$7</f>
        <v>3.1666666666666665</v>
      </c>
      <c r="F44" s="131">
        <f>IF('Futterkurve Sauen'!G$6&gt;14,33+J$2,33+J$2+(14-'Futterkurve Sauen'!$G$6)*0.3)</f>
        <v>39</v>
      </c>
      <c r="G44" s="111">
        <f>F44/'Futterkurve Sauen'!$C$7</f>
        <v>3.25</v>
      </c>
      <c r="H44" s="131">
        <f>IF('Futterkurve Sauen'!G$6&gt;14,32+J$2,31+J$2+(14-'Futterkurve Sauen'!$G$6)*0.3)</f>
        <v>37</v>
      </c>
      <c r="I44" s="111">
        <f>H44/'Futterkurve Sauen'!$C$7</f>
        <v>3.0833333333333335</v>
      </c>
    </row>
    <row r="45" spans="1:9" s="99" customFormat="1">
      <c r="A45" s="110">
        <v>44</v>
      </c>
      <c r="B45" s="126">
        <f>IF('Futterkurve Sauen'!G$6&gt;14,29+J$1,29+(14-'Futterkurve Sauen'!$G$6)*0.3+J$1)</f>
        <v>33</v>
      </c>
      <c r="C45" s="111">
        <f>B45/'Futterkurve Sauen'!$E$7</f>
        <v>2.75</v>
      </c>
      <c r="D45" s="126">
        <f>IF('Futterkurve Sauen'!G$6&gt;14,32+J$2,32+J$2+(14-'Futterkurve Sauen'!$G$6)*0.3)</f>
        <v>38</v>
      </c>
      <c r="E45" s="111">
        <f>D45/'Futterkurve Sauen'!$C$7</f>
        <v>3.1666666666666665</v>
      </c>
      <c r="F45" s="131">
        <f>IF('Futterkurve Sauen'!G$6&gt;14,33+J$2,33+J$2+(14-'Futterkurve Sauen'!$G$6)*0.3)</f>
        <v>39</v>
      </c>
      <c r="G45" s="111">
        <f>F45/'Futterkurve Sauen'!$C$7</f>
        <v>3.25</v>
      </c>
      <c r="H45" s="131">
        <f>IF('Futterkurve Sauen'!G$6&gt;14,32+J$2,31+J$2+(14-'Futterkurve Sauen'!$G$6)*0.3)</f>
        <v>37</v>
      </c>
      <c r="I45" s="111">
        <f>H45/'Futterkurve Sauen'!$C$7</f>
        <v>3.0833333333333335</v>
      </c>
    </row>
    <row r="46" spans="1:9" s="99" customFormat="1">
      <c r="A46" s="110">
        <v>45</v>
      </c>
      <c r="B46" s="126">
        <f>IF('Futterkurve Sauen'!G$6&gt;14,29+J$1,29+(14-'Futterkurve Sauen'!$G$6)*0.3+J$1)</f>
        <v>33</v>
      </c>
      <c r="C46" s="111">
        <f>B46/'Futterkurve Sauen'!$E$7</f>
        <v>2.75</v>
      </c>
      <c r="D46" s="126">
        <f>IF('Futterkurve Sauen'!G$6&gt;14,32+J$2,32+J$2+(14-'Futterkurve Sauen'!$G$6)*0.3)</f>
        <v>38</v>
      </c>
      <c r="E46" s="111">
        <f>D46/'Futterkurve Sauen'!$C$7</f>
        <v>3.1666666666666665</v>
      </c>
      <c r="F46" s="131">
        <f>IF('Futterkurve Sauen'!G$6&gt;14,33+J$2,33+J$2+(14-'Futterkurve Sauen'!$G$6)*0.3)</f>
        <v>39</v>
      </c>
      <c r="G46" s="111">
        <f>F46/'Futterkurve Sauen'!$C$7</f>
        <v>3.25</v>
      </c>
      <c r="H46" s="131">
        <f>IF('Futterkurve Sauen'!G$6&gt;14,32+J$2,31+J$2+(14-'Futterkurve Sauen'!$G$6)*0.3)</f>
        <v>37</v>
      </c>
      <c r="I46" s="111">
        <f>H46/'Futterkurve Sauen'!$C$7</f>
        <v>3.0833333333333335</v>
      </c>
    </row>
    <row r="47" spans="1:9" s="99" customFormat="1">
      <c r="A47" s="110">
        <v>46</v>
      </c>
      <c r="B47" s="126">
        <f>IF('Futterkurve Sauen'!G$6&gt;14,29+J$1,29+(14-'Futterkurve Sauen'!$G$6)*0.3+J$1)</f>
        <v>33</v>
      </c>
      <c r="C47" s="111">
        <f>B47/'Futterkurve Sauen'!$E$7</f>
        <v>2.75</v>
      </c>
      <c r="D47" s="126">
        <f>IF('Futterkurve Sauen'!G$6&gt;14,32+J$2,32+J$2+(14-'Futterkurve Sauen'!$G$6)*0.3)</f>
        <v>38</v>
      </c>
      <c r="E47" s="111">
        <f>D47/'Futterkurve Sauen'!$C$7</f>
        <v>3.1666666666666665</v>
      </c>
      <c r="F47" s="131">
        <f>IF('Futterkurve Sauen'!G$6&gt;14,33+J$2,33+J$2+(14-'Futterkurve Sauen'!$G$6)*0.3)</f>
        <v>39</v>
      </c>
      <c r="G47" s="111">
        <f>F47/'Futterkurve Sauen'!$C$7</f>
        <v>3.25</v>
      </c>
      <c r="H47" s="131">
        <f>IF('Futterkurve Sauen'!G$6&gt;14,32+J$2,31+J$2+(14-'Futterkurve Sauen'!$G$6)*0.3)</f>
        <v>37</v>
      </c>
      <c r="I47" s="111">
        <f>H47/'Futterkurve Sauen'!$C$7</f>
        <v>3.0833333333333335</v>
      </c>
    </row>
    <row r="48" spans="1:9" s="99" customFormat="1">
      <c r="A48" s="110">
        <v>47</v>
      </c>
      <c r="B48" s="126">
        <f>IF('Futterkurve Sauen'!G$6&gt;14,29+J$1,29+(14-'Futterkurve Sauen'!$G$6)*0.3+J$1)</f>
        <v>33</v>
      </c>
      <c r="C48" s="111">
        <f>B48/'Futterkurve Sauen'!$E$7</f>
        <v>2.75</v>
      </c>
      <c r="D48" s="126">
        <f>IF('Futterkurve Sauen'!G$6&gt;14,32+J$2,32+J$2+(14-'Futterkurve Sauen'!$G$6)*0.3)</f>
        <v>38</v>
      </c>
      <c r="E48" s="111">
        <f>D48/'Futterkurve Sauen'!$C$7</f>
        <v>3.1666666666666665</v>
      </c>
      <c r="F48" s="131">
        <f>IF('Futterkurve Sauen'!G$6&gt;14,33+J$2,33+J$2+(14-'Futterkurve Sauen'!$G$6)*0.3)</f>
        <v>39</v>
      </c>
      <c r="G48" s="111">
        <f>F48/'Futterkurve Sauen'!$C$7</f>
        <v>3.25</v>
      </c>
      <c r="H48" s="131">
        <f>IF('Futterkurve Sauen'!G$6&gt;14,32+J$2,31+J$2+(14-'Futterkurve Sauen'!$G$6)*0.3)</f>
        <v>37</v>
      </c>
      <c r="I48" s="111">
        <f>H48/'Futterkurve Sauen'!$C$7</f>
        <v>3.0833333333333335</v>
      </c>
    </row>
    <row r="49" spans="1:9" s="99" customFormat="1">
      <c r="A49" s="110">
        <v>48</v>
      </c>
      <c r="B49" s="126">
        <f>IF('Futterkurve Sauen'!G$6&gt;14,29+J$1,29+(14-'Futterkurve Sauen'!$G$6)*0.3+J$1)</f>
        <v>33</v>
      </c>
      <c r="C49" s="111">
        <f>B49/'Futterkurve Sauen'!$E$7</f>
        <v>2.75</v>
      </c>
      <c r="D49" s="126">
        <f>IF('Futterkurve Sauen'!G$6&gt;14,32+J$2,32+J$2+(14-'Futterkurve Sauen'!$G$6)*0.3)</f>
        <v>38</v>
      </c>
      <c r="E49" s="111">
        <f>D49/'Futterkurve Sauen'!$C$7</f>
        <v>3.1666666666666665</v>
      </c>
      <c r="F49" s="131">
        <f>IF('Futterkurve Sauen'!G$6&gt;14,33+J$2,33+J$2+(14-'Futterkurve Sauen'!$G$6)*0.3)</f>
        <v>39</v>
      </c>
      <c r="G49" s="111">
        <f>F49/'Futterkurve Sauen'!$C$7</f>
        <v>3.25</v>
      </c>
      <c r="H49" s="131">
        <f>IF('Futterkurve Sauen'!G$6&gt;14,32+J$2,31+J$2+(14-'Futterkurve Sauen'!$G$6)*0.3)</f>
        <v>37</v>
      </c>
      <c r="I49" s="111">
        <f>H49/'Futterkurve Sauen'!$C$7</f>
        <v>3.0833333333333335</v>
      </c>
    </row>
    <row r="50" spans="1:9" s="99" customFormat="1">
      <c r="A50" s="110">
        <v>49</v>
      </c>
      <c r="B50" s="126">
        <f>IF('Futterkurve Sauen'!G$6&gt;14,29+J$1,29+(14-'Futterkurve Sauen'!$G$6)*0.3+J$1)</f>
        <v>33</v>
      </c>
      <c r="C50" s="111">
        <f>B50/'Futterkurve Sauen'!$E$7</f>
        <v>2.75</v>
      </c>
      <c r="D50" s="126">
        <f>IF('Futterkurve Sauen'!G$6&gt;14,32+J$2,32+J$2+(14-'Futterkurve Sauen'!$G$6)*0.3)</f>
        <v>38</v>
      </c>
      <c r="E50" s="111">
        <f>D50/'Futterkurve Sauen'!$C$7</f>
        <v>3.1666666666666665</v>
      </c>
      <c r="F50" s="131">
        <f>IF('Futterkurve Sauen'!G$6&gt;14,33+J$2,33+J$2+(14-'Futterkurve Sauen'!$G$6)*0.3)</f>
        <v>39</v>
      </c>
      <c r="G50" s="111">
        <f>F50/'Futterkurve Sauen'!$C$7</f>
        <v>3.25</v>
      </c>
      <c r="H50" s="131">
        <f>IF('Futterkurve Sauen'!G$6&gt;14,32+J$2,31+J$2+(14-'Futterkurve Sauen'!$G$6)*0.3)</f>
        <v>37</v>
      </c>
      <c r="I50" s="111">
        <f>H50/'Futterkurve Sauen'!$C$7</f>
        <v>3.0833333333333335</v>
      </c>
    </row>
    <row r="51" spans="1:9" s="99" customFormat="1">
      <c r="A51" s="110">
        <v>50</v>
      </c>
      <c r="B51" s="126">
        <f>IF('Futterkurve Sauen'!G$6&gt;14,29+J$1,29+(14-'Futterkurve Sauen'!$G$6)*0.3+J$1)</f>
        <v>33</v>
      </c>
      <c r="C51" s="111">
        <f>B51/'Futterkurve Sauen'!$E$7</f>
        <v>2.75</v>
      </c>
      <c r="D51" s="126">
        <f>IF('Futterkurve Sauen'!G$6&gt;14,32+J$2,32+J$2+(14-'Futterkurve Sauen'!$G$6)*0.3)</f>
        <v>38</v>
      </c>
      <c r="E51" s="111">
        <f>D51/'Futterkurve Sauen'!$C$7</f>
        <v>3.1666666666666665</v>
      </c>
      <c r="F51" s="131">
        <f>IF('Futterkurve Sauen'!G$6&gt;14,33+J$2,33+J$2+(14-'Futterkurve Sauen'!$G$6)*0.3)</f>
        <v>39</v>
      </c>
      <c r="G51" s="111">
        <f>F51/'Futterkurve Sauen'!$C$7</f>
        <v>3.25</v>
      </c>
      <c r="H51" s="131">
        <f>IF('Futterkurve Sauen'!G$6&gt;14,32+J$2,31+J$2+(14-'Futterkurve Sauen'!$G$6)*0.3)</f>
        <v>37</v>
      </c>
      <c r="I51" s="111">
        <f>H51/'Futterkurve Sauen'!$C$7</f>
        <v>3.0833333333333335</v>
      </c>
    </row>
    <row r="52" spans="1:9" s="99" customFormat="1">
      <c r="A52" s="110">
        <v>51</v>
      </c>
      <c r="B52" s="126">
        <f>IF('Futterkurve Sauen'!G$6&gt;14,29+J$1,29+(14-'Futterkurve Sauen'!$G$6)*0.3+J$1)</f>
        <v>33</v>
      </c>
      <c r="C52" s="111">
        <f>B52/'Futterkurve Sauen'!$E$7</f>
        <v>2.75</v>
      </c>
      <c r="D52" s="126">
        <f>IF('Futterkurve Sauen'!G$6&gt;14,32+J$2,32+J$2+(14-'Futterkurve Sauen'!$G$6)*0.3)</f>
        <v>38</v>
      </c>
      <c r="E52" s="111">
        <f>D52/'Futterkurve Sauen'!$C$7</f>
        <v>3.1666666666666665</v>
      </c>
      <c r="F52" s="131">
        <f>IF('Futterkurve Sauen'!G$6&gt;14,33+J$2,33+J$2+(14-'Futterkurve Sauen'!$G$6)*0.3)</f>
        <v>39</v>
      </c>
      <c r="G52" s="111">
        <f>F52/'Futterkurve Sauen'!$C$7</f>
        <v>3.25</v>
      </c>
      <c r="H52" s="131">
        <f>IF('Futterkurve Sauen'!G$6&gt;14,32+J$2,31+J$2+(14-'Futterkurve Sauen'!$G$6)*0.3)</f>
        <v>37</v>
      </c>
      <c r="I52" s="111">
        <f>H52/'Futterkurve Sauen'!$C$7</f>
        <v>3.0833333333333335</v>
      </c>
    </row>
    <row r="53" spans="1:9" s="99" customFormat="1">
      <c r="A53" s="110">
        <v>52</v>
      </c>
      <c r="B53" s="126">
        <f>IF('Futterkurve Sauen'!G$6&gt;14,29+J$1,29+(14-'Futterkurve Sauen'!$G$6)*0.3+J$1)</f>
        <v>33</v>
      </c>
      <c r="C53" s="111">
        <f>B53/'Futterkurve Sauen'!$E$7</f>
        <v>2.75</v>
      </c>
      <c r="D53" s="126">
        <f>IF('Futterkurve Sauen'!G$6&gt;14,32+J$2,32+J$2+(14-'Futterkurve Sauen'!$G$6)*0.3)</f>
        <v>38</v>
      </c>
      <c r="E53" s="111">
        <f>D53/'Futterkurve Sauen'!$C$7</f>
        <v>3.1666666666666665</v>
      </c>
      <c r="F53" s="131">
        <f>IF('Futterkurve Sauen'!G$6&gt;14,33+J$2,33+J$2+(14-'Futterkurve Sauen'!$G$6)*0.3)</f>
        <v>39</v>
      </c>
      <c r="G53" s="111">
        <f>F53/'Futterkurve Sauen'!$C$7</f>
        <v>3.25</v>
      </c>
      <c r="H53" s="131">
        <f>IF('Futterkurve Sauen'!G$6&gt;14,32+J$2,31+J$2+(14-'Futterkurve Sauen'!$G$6)*0.3)</f>
        <v>37</v>
      </c>
      <c r="I53" s="111">
        <f>H53/'Futterkurve Sauen'!$C$7</f>
        <v>3.0833333333333335</v>
      </c>
    </row>
    <row r="54" spans="1:9" s="99" customFormat="1">
      <c r="A54" s="110">
        <v>53</v>
      </c>
      <c r="B54" s="126">
        <f>IF('Futterkurve Sauen'!G$6&gt;14,29+J$1,29+(14-'Futterkurve Sauen'!$G$6)*0.3+J$1)</f>
        <v>33</v>
      </c>
      <c r="C54" s="111">
        <f>B54/'Futterkurve Sauen'!$E$7</f>
        <v>2.75</v>
      </c>
      <c r="D54" s="126">
        <f>IF('Futterkurve Sauen'!G$6&gt;14,32+J$2,32+J$2+(14-'Futterkurve Sauen'!$G$6)*0.3)</f>
        <v>38</v>
      </c>
      <c r="E54" s="111">
        <f>D54/'Futterkurve Sauen'!$C$7</f>
        <v>3.1666666666666665</v>
      </c>
      <c r="F54" s="131">
        <f>IF('Futterkurve Sauen'!G$6&gt;14,33+J$2,33+J$2+(14-'Futterkurve Sauen'!$G$6)*0.3)</f>
        <v>39</v>
      </c>
      <c r="G54" s="111">
        <f>F54/'Futterkurve Sauen'!$C$7</f>
        <v>3.25</v>
      </c>
      <c r="H54" s="131">
        <f>IF('Futterkurve Sauen'!G$6&gt;14,32+J$2,31+J$2+(14-'Futterkurve Sauen'!$G$6)*0.3)</f>
        <v>37</v>
      </c>
      <c r="I54" s="111">
        <f>H54/'Futterkurve Sauen'!$C$7</f>
        <v>3.0833333333333335</v>
      </c>
    </row>
    <row r="55" spans="1:9" s="99" customFormat="1">
      <c r="A55" s="110">
        <v>54</v>
      </c>
      <c r="B55" s="126">
        <f>IF('Futterkurve Sauen'!G$6&gt;14,29+J$1,29+(14-'Futterkurve Sauen'!$G$6)*0.3+J$1)</f>
        <v>33</v>
      </c>
      <c r="C55" s="111">
        <f>B55/'Futterkurve Sauen'!$E$7</f>
        <v>2.75</v>
      </c>
      <c r="D55" s="126">
        <f>IF('Futterkurve Sauen'!G$6&gt;14,32+J$2,32+J$2+(14-'Futterkurve Sauen'!$G$6)*0.3)</f>
        <v>38</v>
      </c>
      <c r="E55" s="111">
        <f>D55/'Futterkurve Sauen'!$C$7</f>
        <v>3.1666666666666665</v>
      </c>
      <c r="F55" s="131">
        <f>IF('Futterkurve Sauen'!G$6&gt;14,33+J$2,33+J$2+(14-'Futterkurve Sauen'!$G$6)*0.3)</f>
        <v>39</v>
      </c>
      <c r="G55" s="111">
        <f>F55/'Futterkurve Sauen'!$C$7</f>
        <v>3.25</v>
      </c>
      <c r="H55" s="131">
        <f>IF('Futterkurve Sauen'!G$6&gt;14,32+J$2,31+J$2+(14-'Futterkurve Sauen'!$G$6)*0.3)</f>
        <v>37</v>
      </c>
      <c r="I55" s="111">
        <f>H55/'Futterkurve Sauen'!$C$7</f>
        <v>3.0833333333333335</v>
      </c>
    </row>
    <row r="56" spans="1:9" s="99" customFormat="1">
      <c r="A56" s="110">
        <v>55</v>
      </c>
      <c r="B56" s="126">
        <f>IF('Futterkurve Sauen'!G$6&gt;14,29+J$1,29+(14-'Futterkurve Sauen'!$G$6)*0.3+J$1)</f>
        <v>33</v>
      </c>
      <c r="C56" s="111">
        <f>B56/'Futterkurve Sauen'!$E$7</f>
        <v>2.75</v>
      </c>
      <c r="D56" s="126">
        <f>IF('Futterkurve Sauen'!G$6&gt;14,32+J$2,32+J$2+(14-'Futterkurve Sauen'!$G$6)*0.3)</f>
        <v>38</v>
      </c>
      <c r="E56" s="111">
        <f>D56/'Futterkurve Sauen'!$C$7</f>
        <v>3.1666666666666665</v>
      </c>
      <c r="F56" s="131">
        <f>IF('Futterkurve Sauen'!G$6&gt;14,33+J$2,33+J$2+(14-'Futterkurve Sauen'!$G$6)*0.3)</f>
        <v>39</v>
      </c>
      <c r="G56" s="111">
        <f>F56/'Futterkurve Sauen'!$C$7</f>
        <v>3.25</v>
      </c>
      <c r="H56" s="131">
        <f>IF('Futterkurve Sauen'!G$6&gt;14,32+J$2,31+J$2+(14-'Futterkurve Sauen'!$G$6)*0.3)</f>
        <v>37</v>
      </c>
      <c r="I56" s="111">
        <f>H56/'Futterkurve Sauen'!$C$7</f>
        <v>3.0833333333333335</v>
      </c>
    </row>
    <row r="57" spans="1:9" s="99" customFormat="1">
      <c r="A57" s="110">
        <v>56</v>
      </c>
      <c r="B57" s="126">
        <f>IF('Futterkurve Sauen'!G$6&gt;14,29+J$1,29+(14-'Futterkurve Sauen'!$G$6)*0.3+J$1)</f>
        <v>33</v>
      </c>
      <c r="C57" s="111">
        <f>B57/'Futterkurve Sauen'!$E$7</f>
        <v>2.75</v>
      </c>
      <c r="D57" s="126">
        <f>IF('Futterkurve Sauen'!G$6&gt;14,32+J$2,32+J$2+(14-'Futterkurve Sauen'!$G$6)*0.3)</f>
        <v>38</v>
      </c>
      <c r="E57" s="111">
        <f>D57/'Futterkurve Sauen'!$C$7</f>
        <v>3.1666666666666665</v>
      </c>
      <c r="F57" s="131">
        <f>IF('Futterkurve Sauen'!G$6&gt;14,33+J$2,33+J$2+(14-'Futterkurve Sauen'!$G$6)*0.3)</f>
        <v>39</v>
      </c>
      <c r="G57" s="111">
        <f>F57/'Futterkurve Sauen'!$C$7</f>
        <v>3.25</v>
      </c>
      <c r="H57" s="131">
        <f>IF('Futterkurve Sauen'!G$6&gt;14,32+J$2,31+J$2+(14-'Futterkurve Sauen'!$G$6)*0.3)</f>
        <v>37</v>
      </c>
      <c r="I57" s="111">
        <f>H57/'Futterkurve Sauen'!$C$7</f>
        <v>3.0833333333333335</v>
      </c>
    </row>
    <row r="58" spans="1:9" s="99" customFormat="1">
      <c r="A58" s="110">
        <v>57</v>
      </c>
      <c r="B58" s="126">
        <f>IF('Futterkurve Sauen'!G$6&gt;14,29+J$1,29+(14-'Futterkurve Sauen'!$G$6)*0.3+J$1)</f>
        <v>33</v>
      </c>
      <c r="C58" s="111">
        <f>B58/'Futterkurve Sauen'!$E$7</f>
        <v>2.75</v>
      </c>
      <c r="D58" s="126">
        <f>IF('Futterkurve Sauen'!G$6&gt;14,32+J$2,32+J$2+(14-'Futterkurve Sauen'!$G$6)*0.3)</f>
        <v>38</v>
      </c>
      <c r="E58" s="111">
        <f>D58/'Futterkurve Sauen'!$C$7</f>
        <v>3.1666666666666665</v>
      </c>
      <c r="F58" s="131">
        <f>IF('Futterkurve Sauen'!G$6&gt;14,33+J$2,33+J$2+(14-'Futterkurve Sauen'!$G$6)*0.3)</f>
        <v>39</v>
      </c>
      <c r="G58" s="111">
        <f>F58/'Futterkurve Sauen'!$C$7</f>
        <v>3.25</v>
      </c>
      <c r="H58" s="131">
        <f>IF('Futterkurve Sauen'!G$6&gt;14,32+J$2,31+J$2+(14-'Futterkurve Sauen'!$G$6)*0.3)</f>
        <v>37</v>
      </c>
      <c r="I58" s="111">
        <f>H58/'Futterkurve Sauen'!$C$7</f>
        <v>3.0833333333333335</v>
      </c>
    </row>
    <row r="59" spans="1:9" s="99" customFormat="1">
      <c r="A59" s="110">
        <v>58</v>
      </c>
      <c r="B59" s="126">
        <f>IF('Futterkurve Sauen'!G$6&gt;14,29+J$1,29+(14-'Futterkurve Sauen'!$G$6)*0.3+J$1)</f>
        <v>33</v>
      </c>
      <c r="C59" s="111">
        <f>B59/'Futterkurve Sauen'!$E$7</f>
        <v>2.75</v>
      </c>
      <c r="D59" s="126">
        <f>IF('Futterkurve Sauen'!G$6&gt;14,32+J$2,32+J$2+(14-'Futterkurve Sauen'!$G$6)*0.3)</f>
        <v>38</v>
      </c>
      <c r="E59" s="111">
        <f>D59/'Futterkurve Sauen'!$C$7</f>
        <v>3.1666666666666665</v>
      </c>
      <c r="F59" s="131">
        <f>IF('Futterkurve Sauen'!G$6&gt;14,33+J$2,33+J$2+(14-'Futterkurve Sauen'!$G$6)*0.3)</f>
        <v>39</v>
      </c>
      <c r="G59" s="111">
        <f>F59/'Futterkurve Sauen'!$C$7</f>
        <v>3.25</v>
      </c>
      <c r="H59" s="131">
        <f>IF('Futterkurve Sauen'!G$6&gt;14,32+J$2,31+J$2+(14-'Futterkurve Sauen'!$G$6)*0.3)</f>
        <v>37</v>
      </c>
      <c r="I59" s="111">
        <f>H59/'Futterkurve Sauen'!$C$7</f>
        <v>3.0833333333333335</v>
      </c>
    </row>
    <row r="60" spans="1:9" s="99" customFormat="1">
      <c r="A60" s="110">
        <v>59</v>
      </c>
      <c r="B60" s="126">
        <f>IF('Futterkurve Sauen'!G$6&gt;14,29+J$1,29+(14-'Futterkurve Sauen'!$G$6)*0.3+J$1)</f>
        <v>33</v>
      </c>
      <c r="C60" s="111">
        <f>B60/'Futterkurve Sauen'!$E$7</f>
        <v>2.75</v>
      </c>
      <c r="D60" s="126">
        <f>IF('Futterkurve Sauen'!G$6&gt;14,32+J$2,32+J$2+(14-'Futterkurve Sauen'!$G$6)*0.3)</f>
        <v>38</v>
      </c>
      <c r="E60" s="111">
        <f>D60/'Futterkurve Sauen'!$C$7</f>
        <v>3.1666666666666665</v>
      </c>
      <c r="F60" s="131">
        <f>IF('Futterkurve Sauen'!G$6&gt;14,33+J$2,33+J$2+(14-'Futterkurve Sauen'!$G$6)*0.3)</f>
        <v>39</v>
      </c>
      <c r="G60" s="111">
        <f>F60/'Futterkurve Sauen'!$C$7</f>
        <v>3.25</v>
      </c>
      <c r="H60" s="131">
        <f>IF('Futterkurve Sauen'!G$6&gt;14,32+J$2,31+J$2+(14-'Futterkurve Sauen'!$G$6)*0.3)</f>
        <v>37</v>
      </c>
      <c r="I60" s="111">
        <f>H60/'Futterkurve Sauen'!$C$7</f>
        <v>3.0833333333333335</v>
      </c>
    </row>
    <row r="61" spans="1:9" s="99" customFormat="1">
      <c r="A61" s="110">
        <v>60</v>
      </c>
      <c r="B61" s="126">
        <f>IF('Futterkurve Sauen'!G$6&gt;14,29+J$1,29+(14-'Futterkurve Sauen'!$G$6)*0.3+J$1)</f>
        <v>33</v>
      </c>
      <c r="C61" s="111">
        <f>B61/'Futterkurve Sauen'!$E$7</f>
        <v>2.75</v>
      </c>
      <c r="D61" s="126">
        <f>IF('Futterkurve Sauen'!G$6&gt;14,32+J$2,32+J$2+(14-'Futterkurve Sauen'!$G$6)*0.3)</f>
        <v>38</v>
      </c>
      <c r="E61" s="111">
        <f>D61/'Futterkurve Sauen'!$C$7</f>
        <v>3.1666666666666665</v>
      </c>
      <c r="F61" s="131">
        <f>IF('Futterkurve Sauen'!G$6&gt;14,33+J$2,33+J$2+(14-'Futterkurve Sauen'!$G$6)*0.3)</f>
        <v>39</v>
      </c>
      <c r="G61" s="111">
        <f>F61/'Futterkurve Sauen'!$C$7</f>
        <v>3.25</v>
      </c>
      <c r="H61" s="131">
        <f>IF('Futterkurve Sauen'!G$6&gt;14,32+J$2,31+J$2+(14-'Futterkurve Sauen'!$G$6)*0.3)</f>
        <v>37</v>
      </c>
      <c r="I61" s="111">
        <f>H61/'Futterkurve Sauen'!$C$7</f>
        <v>3.0833333333333335</v>
      </c>
    </row>
    <row r="62" spans="1:9" s="99" customFormat="1">
      <c r="A62" s="110">
        <v>61</v>
      </c>
      <c r="B62" s="126">
        <f>IF('Futterkurve Sauen'!G$6&gt;14,29+J$1,29+(14-'Futterkurve Sauen'!$G$6)*0.3+J$1)</f>
        <v>33</v>
      </c>
      <c r="C62" s="111">
        <f>B62/'Futterkurve Sauen'!$E$7</f>
        <v>2.75</v>
      </c>
      <c r="D62" s="126">
        <f>IF('Futterkurve Sauen'!G$6&gt;14,32+J$2,32+J$2+(14-'Futterkurve Sauen'!$G$6)*0.3)</f>
        <v>38</v>
      </c>
      <c r="E62" s="111">
        <f>D62/'Futterkurve Sauen'!$C$7</f>
        <v>3.1666666666666665</v>
      </c>
      <c r="F62" s="131">
        <f>IF('Futterkurve Sauen'!G$6&gt;14,33+J$2,33+J$2+(14-'Futterkurve Sauen'!$G$6)*0.3)</f>
        <v>39</v>
      </c>
      <c r="G62" s="111">
        <f>F62/'Futterkurve Sauen'!$C$7</f>
        <v>3.25</v>
      </c>
      <c r="H62" s="131">
        <f>IF('Futterkurve Sauen'!G$6&gt;14,32+J$2,31+J$2+(14-'Futterkurve Sauen'!$G$6)*0.3)</f>
        <v>37</v>
      </c>
      <c r="I62" s="111">
        <f>H62/'Futterkurve Sauen'!$C$7</f>
        <v>3.0833333333333335</v>
      </c>
    </row>
    <row r="63" spans="1:9" s="99" customFormat="1">
      <c r="A63" s="110">
        <v>62</v>
      </c>
      <c r="B63" s="126">
        <f>IF('Futterkurve Sauen'!G$6&gt;14,29+J$1,29+(14-'Futterkurve Sauen'!$G$6)*0.3+J$1)</f>
        <v>33</v>
      </c>
      <c r="C63" s="111">
        <f>B63/'Futterkurve Sauen'!$E$7</f>
        <v>2.75</v>
      </c>
      <c r="D63" s="126">
        <f>IF('Futterkurve Sauen'!G$6&gt;14,32+J$2,32+J$2+(14-'Futterkurve Sauen'!$G$6)*0.3)</f>
        <v>38</v>
      </c>
      <c r="E63" s="111">
        <f>D63/'Futterkurve Sauen'!$C$7</f>
        <v>3.1666666666666665</v>
      </c>
      <c r="F63" s="131">
        <f>IF('Futterkurve Sauen'!G$6&gt;14,33+J$2,33+J$2+(14-'Futterkurve Sauen'!$G$6)*0.3)</f>
        <v>39</v>
      </c>
      <c r="G63" s="111">
        <f>F63/'Futterkurve Sauen'!$C$7</f>
        <v>3.25</v>
      </c>
      <c r="H63" s="131">
        <f>IF('Futterkurve Sauen'!G$6&gt;14,32+J$2,31+J$2+(14-'Futterkurve Sauen'!$G$6)*0.3)</f>
        <v>37</v>
      </c>
      <c r="I63" s="111">
        <f>H63/'Futterkurve Sauen'!$C$7</f>
        <v>3.0833333333333335</v>
      </c>
    </row>
    <row r="64" spans="1:9" s="99" customFormat="1">
      <c r="A64" s="110">
        <v>63</v>
      </c>
      <c r="B64" s="126">
        <f>IF('Futterkurve Sauen'!G$6&gt;14,29+J$1,29+(14-'Futterkurve Sauen'!$G$6)*0.3+J$1)</f>
        <v>33</v>
      </c>
      <c r="C64" s="111">
        <f>B64/'Futterkurve Sauen'!$E$7</f>
        <v>2.75</v>
      </c>
      <c r="D64" s="126">
        <f>IF('Futterkurve Sauen'!G$6&gt;14,32+J$2,32+J$2+(14-'Futterkurve Sauen'!$G$6)*0.3)</f>
        <v>38</v>
      </c>
      <c r="E64" s="111">
        <f>D64/'Futterkurve Sauen'!$C$7</f>
        <v>3.1666666666666665</v>
      </c>
      <c r="F64" s="131">
        <f>IF('Futterkurve Sauen'!G$6&gt;14,33+J$2,33+J$2+(14-'Futterkurve Sauen'!$G$6)*0.3)</f>
        <v>39</v>
      </c>
      <c r="G64" s="111">
        <f>F64/'Futterkurve Sauen'!$C$7</f>
        <v>3.25</v>
      </c>
      <c r="H64" s="131">
        <f>IF('Futterkurve Sauen'!G$6&gt;14,32+J$2,31+J$2+(14-'Futterkurve Sauen'!$G$6)*0.3)</f>
        <v>37</v>
      </c>
      <c r="I64" s="111">
        <f>H64/'Futterkurve Sauen'!$C$7</f>
        <v>3.0833333333333335</v>
      </c>
    </row>
    <row r="65" spans="1:9" s="99" customFormat="1">
      <c r="A65" s="110">
        <v>64</v>
      </c>
      <c r="B65" s="126">
        <f>IF('Futterkurve Sauen'!G$6&gt;14,29+J$1,29+(14-'Futterkurve Sauen'!$G$6)*0.3+J$1)</f>
        <v>33</v>
      </c>
      <c r="C65" s="111">
        <f>B65/'Futterkurve Sauen'!$E$7</f>
        <v>2.75</v>
      </c>
      <c r="D65" s="126">
        <f>IF('Futterkurve Sauen'!G$6&gt;14,32+J$2,32+J$2+(14-'Futterkurve Sauen'!$G$6)*0.3)</f>
        <v>38</v>
      </c>
      <c r="E65" s="111">
        <f>D65/'Futterkurve Sauen'!$C$7</f>
        <v>3.1666666666666665</v>
      </c>
      <c r="F65" s="131">
        <f>IF('Futterkurve Sauen'!G$6&gt;14,33+J$2,33+J$2+(14-'Futterkurve Sauen'!$G$6)*0.3)</f>
        <v>39</v>
      </c>
      <c r="G65" s="111">
        <f>F65/'Futterkurve Sauen'!$C$7</f>
        <v>3.25</v>
      </c>
      <c r="H65" s="131">
        <f>IF('Futterkurve Sauen'!G$6&gt;14,32+J$2,31+J$2+(14-'Futterkurve Sauen'!$G$6)*0.3)</f>
        <v>37</v>
      </c>
      <c r="I65" s="111">
        <f>H65/'Futterkurve Sauen'!$C$7</f>
        <v>3.0833333333333335</v>
      </c>
    </row>
    <row r="66" spans="1:9" s="99" customFormat="1">
      <c r="A66" s="110">
        <v>65</v>
      </c>
      <c r="B66" s="126">
        <f>IF('Futterkurve Sauen'!G$6&gt;14,29+J$1,29+(14-'Futterkurve Sauen'!$G$6)*0.3+J$1)</f>
        <v>33</v>
      </c>
      <c r="C66" s="111">
        <f>B66/'Futterkurve Sauen'!$E$7</f>
        <v>2.75</v>
      </c>
      <c r="D66" s="126">
        <f>IF('Futterkurve Sauen'!G$6&gt;14,32+J$2,32+J$2+(14-'Futterkurve Sauen'!$G$6)*0.3)</f>
        <v>38</v>
      </c>
      <c r="E66" s="111">
        <f>D66/'Futterkurve Sauen'!$C$7</f>
        <v>3.1666666666666665</v>
      </c>
      <c r="F66" s="131">
        <f>IF('Futterkurve Sauen'!G$6&gt;14,33+J$2,33+J$2+(14-'Futterkurve Sauen'!$G$6)*0.3)</f>
        <v>39</v>
      </c>
      <c r="G66" s="111">
        <f>F66/'Futterkurve Sauen'!$C$7</f>
        <v>3.25</v>
      </c>
      <c r="H66" s="131">
        <f>IF('Futterkurve Sauen'!G$6&gt;14,32+J$2,31+J$2+(14-'Futterkurve Sauen'!$G$6)*0.3)</f>
        <v>37</v>
      </c>
      <c r="I66" s="111">
        <f>H66/'Futterkurve Sauen'!$C$7</f>
        <v>3.0833333333333335</v>
      </c>
    </row>
    <row r="67" spans="1:9" s="115" customFormat="1">
      <c r="A67" s="110">
        <v>66</v>
      </c>
      <c r="B67" s="126">
        <f>IF('Futterkurve Sauen'!G$6&gt;14,29+J$1,29+(14-'Futterkurve Sauen'!$G$6)*0.3+J$1)</f>
        <v>33</v>
      </c>
      <c r="C67" s="111">
        <f>B67/'Futterkurve Sauen'!$E$7</f>
        <v>2.75</v>
      </c>
      <c r="D67" s="126">
        <f>IF('Futterkurve Sauen'!G$6&gt;14,32+J$2,32+J$2+(14-'Futterkurve Sauen'!$G$6)*0.3)</f>
        <v>38</v>
      </c>
      <c r="E67" s="111">
        <f>D67/'Futterkurve Sauen'!$C$7</f>
        <v>3.1666666666666665</v>
      </c>
      <c r="F67" s="131">
        <f>IF('Futterkurve Sauen'!G$6&gt;14,33+J$2,33+J$2+(14-'Futterkurve Sauen'!$G$6)*0.3)</f>
        <v>39</v>
      </c>
      <c r="G67" s="111">
        <f>F67/'Futterkurve Sauen'!$C$7</f>
        <v>3.25</v>
      </c>
      <c r="H67" s="131">
        <f>IF('Futterkurve Sauen'!G$6&gt;14,32+J$2,31+J$2+(14-'Futterkurve Sauen'!$G$6)*0.3)</f>
        <v>37</v>
      </c>
      <c r="I67" s="111">
        <f>H67/'Futterkurve Sauen'!$C$7</f>
        <v>3.0833333333333335</v>
      </c>
    </row>
    <row r="68" spans="1:9" s="130" customFormat="1">
      <c r="A68" s="110">
        <v>67</v>
      </c>
      <c r="B68" s="126">
        <f>IF('Futterkurve Sauen'!G$6&gt;14,29+J$1,29+(14-'Futterkurve Sauen'!$G$6)*0.3+J$1)</f>
        <v>33</v>
      </c>
      <c r="C68" s="111">
        <f>B68/'Futterkurve Sauen'!$E$7</f>
        <v>2.75</v>
      </c>
      <c r="D68" s="126">
        <f>IF('Futterkurve Sauen'!G$6&gt;14,32+J$2,32+J$2+(14-'Futterkurve Sauen'!$G$6)*0.3)</f>
        <v>38</v>
      </c>
      <c r="E68" s="111">
        <f>D68/'Futterkurve Sauen'!$C$7</f>
        <v>3.1666666666666665</v>
      </c>
      <c r="F68" s="131">
        <f>IF('Futterkurve Sauen'!G$6&gt;14,33+J$2,33+J$2+(14-'Futterkurve Sauen'!$G$6)*0.3)</f>
        <v>39</v>
      </c>
      <c r="G68" s="111">
        <f>F68/'Futterkurve Sauen'!$C$7</f>
        <v>3.25</v>
      </c>
      <c r="H68" s="131">
        <f>IF('Futterkurve Sauen'!G$6&gt;14,32+J$2,31+J$2+(14-'Futterkurve Sauen'!$G$6)*0.3)</f>
        <v>37</v>
      </c>
      <c r="I68" s="111">
        <f>H68/'Futterkurve Sauen'!$C$7</f>
        <v>3.0833333333333335</v>
      </c>
    </row>
    <row r="69" spans="1:9" s="99" customFormat="1">
      <c r="A69" s="110">
        <v>68</v>
      </c>
      <c r="B69" s="126">
        <f>IF('Futterkurve Sauen'!G$6&gt;14,29+J$1,29+(14-'Futterkurve Sauen'!$G$6)*0.3+J$1)</f>
        <v>33</v>
      </c>
      <c r="C69" s="111">
        <f>B69/'Futterkurve Sauen'!$E$7</f>
        <v>2.75</v>
      </c>
      <c r="D69" s="126">
        <f>IF('Futterkurve Sauen'!G$6&gt;14,32+J$2,32+J$2+(14-'Futterkurve Sauen'!$G$6)*0.3)</f>
        <v>38</v>
      </c>
      <c r="E69" s="111">
        <f>D69/'Futterkurve Sauen'!$C$7</f>
        <v>3.1666666666666665</v>
      </c>
      <c r="F69" s="131">
        <f>IF('Futterkurve Sauen'!G$6&gt;14,33+J$2,33+J$2+(14-'Futterkurve Sauen'!$G$6)*0.3)</f>
        <v>39</v>
      </c>
      <c r="G69" s="111">
        <f>F69/'Futterkurve Sauen'!$C$7</f>
        <v>3.25</v>
      </c>
      <c r="H69" s="131">
        <f>IF('Futterkurve Sauen'!G$6&gt;14,32+J$2,31+J$2+(14-'Futterkurve Sauen'!$G$6)*0.3)</f>
        <v>37</v>
      </c>
      <c r="I69" s="111">
        <f>H69/'Futterkurve Sauen'!$C$7</f>
        <v>3.0833333333333335</v>
      </c>
    </row>
    <row r="70" spans="1:9" s="99" customFormat="1">
      <c r="A70" s="110">
        <v>69</v>
      </c>
      <c r="B70" s="126">
        <f>IF('Futterkurve Sauen'!G$6&gt;14,29+J$1,29+(14-'Futterkurve Sauen'!$G$6)*0.3+J$1)</f>
        <v>33</v>
      </c>
      <c r="C70" s="111">
        <f>B70/'Futterkurve Sauen'!$E$7</f>
        <v>2.75</v>
      </c>
      <c r="D70" s="126">
        <f>IF('Futterkurve Sauen'!G$6&gt;14,32+J$2,32+J$2+(14-'Futterkurve Sauen'!$G$6)*0.3)</f>
        <v>38</v>
      </c>
      <c r="E70" s="111">
        <f>D70/'Futterkurve Sauen'!$C$7</f>
        <v>3.1666666666666665</v>
      </c>
      <c r="F70" s="131">
        <f>IF('Futterkurve Sauen'!G$6&gt;14,33+J$2,33+J$2+(14-'Futterkurve Sauen'!$G$6)*0.3)</f>
        <v>39</v>
      </c>
      <c r="G70" s="111">
        <f>F70/'Futterkurve Sauen'!$C$7</f>
        <v>3.25</v>
      </c>
      <c r="H70" s="131">
        <f>IF('Futterkurve Sauen'!G$6&gt;14,32+J$2,31+J$2+(14-'Futterkurve Sauen'!$G$6)*0.3)</f>
        <v>37</v>
      </c>
      <c r="I70" s="111">
        <f>H70/'Futterkurve Sauen'!$C$7</f>
        <v>3.0833333333333335</v>
      </c>
    </row>
    <row r="71" spans="1:9" s="99" customFormat="1">
      <c r="A71" s="110">
        <v>70</v>
      </c>
      <c r="B71" s="183">
        <f>IF('Futterkurve Sauen'!G$6&gt;14,29+J$1,29+(14-'Futterkurve Sauen'!$G$6)*0.3+J$1)</f>
        <v>33</v>
      </c>
      <c r="C71" s="184">
        <f>B71/'Futterkurve Sauen'!$E$7</f>
        <v>2.75</v>
      </c>
      <c r="D71" s="183">
        <f>IF('Futterkurve Sauen'!G$6&gt;14,32+J$2,32+J$2+(14-'Futterkurve Sauen'!$G$6)*0.3)</f>
        <v>38</v>
      </c>
      <c r="E71" s="184">
        <f>D71/'Futterkurve Sauen'!$C$7</f>
        <v>3.1666666666666665</v>
      </c>
      <c r="F71" s="199">
        <f>IF('Futterkurve Sauen'!G$6&gt;14,33+J$2,33+J$2+(14-'Futterkurve Sauen'!$G$6)*0.3)</f>
        <v>39</v>
      </c>
      <c r="G71" s="184">
        <f>F71/'Futterkurve Sauen'!$C$7</f>
        <v>3.25</v>
      </c>
      <c r="H71" s="199">
        <f>IF('Futterkurve Sauen'!G$6&gt;14,32+J$2,31+J$2+(14-'Futterkurve Sauen'!$G$6)*0.3)</f>
        <v>37</v>
      </c>
      <c r="I71" s="184">
        <f>H71/'Futterkurve Sauen'!$C$7</f>
        <v>3.0833333333333335</v>
      </c>
    </row>
    <row r="72" spans="1:9" s="99" customFormat="1">
      <c r="A72" s="463">
        <v>71</v>
      </c>
      <c r="B72" s="464">
        <f>IF('Futterkurve Sauen'!G$6&gt;14,33,33+(14-'Futterkurve Sauen'!$G$6)*0.3+J$1)</f>
        <v>37</v>
      </c>
      <c r="C72" s="465">
        <f>B72/'Futterkurve Sauen'!$C$7</f>
        <v>3.0833333333333335</v>
      </c>
      <c r="D72" s="466">
        <f>IF('Futterkurve Sauen'!G$6&gt;14,36+J$2,36+J$2+(14-'Futterkurve Sauen'!$G$6)*0.3)</f>
        <v>42</v>
      </c>
      <c r="E72" s="465">
        <f>D72/'Futterkurve Sauen'!$C$7</f>
        <v>3.5</v>
      </c>
      <c r="F72" s="466">
        <f>IF('Futterkurve Sauen'!G$6&gt;14,37+J$2,37+J$2+(14-'Futterkurve Sauen'!$G$6)*0.3)</f>
        <v>43</v>
      </c>
      <c r="G72" s="465">
        <f>F72/'Futterkurve Sauen'!$C$7</f>
        <v>3.5833333333333335</v>
      </c>
      <c r="H72" s="466">
        <f>IF('Futterkurve Sauen'!G$6&gt;14,34+J$2,34+J$2+(14-'Futterkurve Sauen'!$G$6)*0.3)</f>
        <v>40</v>
      </c>
      <c r="I72" s="465">
        <f>H72/'Futterkurve Sauen'!$C$7</f>
        <v>3.3333333333333335</v>
      </c>
    </row>
    <row r="73" spans="1:9" s="99" customFormat="1">
      <c r="A73" s="467">
        <v>72</v>
      </c>
      <c r="B73" s="468">
        <f>IF('Futterkurve Sauen'!G$6&gt;14,33,33+(14-'Futterkurve Sauen'!$G$6)*0.3+J$1)</f>
        <v>37</v>
      </c>
      <c r="C73" s="469">
        <f>B73/'Futterkurve Sauen'!$C$7</f>
        <v>3.0833333333333335</v>
      </c>
      <c r="D73" s="470">
        <f>IF('Futterkurve Sauen'!G$6&gt;14,36+J$2,36+J$2+(14-'Futterkurve Sauen'!$G$6)*0.3)</f>
        <v>42</v>
      </c>
      <c r="E73" s="469">
        <f>D73/'Futterkurve Sauen'!$C$7</f>
        <v>3.5</v>
      </c>
      <c r="F73" s="470">
        <f>IF('Futterkurve Sauen'!G$6&gt;14,37+J$2,37+J$2+(14-'Futterkurve Sauen'!$G$6)*0.3)</f>
        <v>43</v>
      </c>
      <c r="G73" s="469">
        <f>F73/'Futterkurve Sauen'!$C$7</f>
        <v>3.5833333333333335</v>
      </c>
      <c r="H73" s="470">
        <f>IF('Futterkurve Sauen'!G$6&gt;14,34+J$2,34+J$2+(14-'Futterkurve Sauen'!$G$6)*0.3)</f>
        <v>40</v>
      </c>
      <c r="I73" s="469">
        <f>H73/'Futterkurve Sauen'!$C$7</f>
        <v>3.3333333333333335</v>
      </c>
    </row>
    <row r="74" spans="1:9" s="99" customFormat="1">
      <c r="A74" s="467">
        <v>73</v>
      </c>
      <c r="B74" s="468">
        <f>IF('Futterkurve Sauen'!G$6&gt;14,33,33+(14-'Futterkurve Sauen'!$G$6)*0.3+J$1)</f>
        <v>37</v>
      </c>
      <c r="C74" s="469">
        <f>B74/'Futterkurve Sauen'!$C$7</f>
        <v>3.0833333333333335</v>
      </c>
      <c r="D74" s="470">
        <f>IF('Futterkurve Sauen'!G$6&gt;14,36+J$2,36+J$2+(14-'Futterkurve Sauen'!$G$6)*0.3)</f>
        <v>42</v>
      </c>
      <c r="E74" s="469">
        <f>D74/'Futterkurve Sauen'!$C$7</f>
        <v>3.5</v>
      </c>
      <c r="F74" s="470">
        <f>IF('Futterkurve Sauen'!G$6&gt;14,37+J$2,37+J$2+(14-'Futterkurve Sauen'!$G$6)*0.3)</f>
        <v>43</v>
      </c>
      <c r="G74" s="469">
        <f>F74/'Futterkurve Sauen'!$C$7</f>
        <v>3.5833333333333335</v>
      </c>
      <c r="H74" s="470">
        <f>IF('Futterkurve Sauen'!G$6&gt;14,34+J$2,34+J$2+(14-'Futterkurve Sauen'!$G$6)*0.3)</f>
        <v>40</v>
      </c>
      <c r="I74" s="469">
        <f>H74/'Futterkurve Sauen'!$C$7</f>
        <v>3.3333333333333335</v>
      </c>
    </row>
    <row r="75" spans="1:9" s="99" customFormat="1">
      <c r="A75" s="467">
        <v>74</v>
      </c>
      <c r="B75" s="468">
        <f>IF('Futterkurve Sauen'!G$6&gt;14,33,33+(14-'Futterkurve Sauen'!$G$6)*0.3+J$1)</f>
        <v>37</v>
      </c>
      <c r="C75" s="469">
        <f>B75/'Futterkurve Sauen'!$C$7</f>
        <v>3.0833333333333335</v>
      </c>
      <c r="D75" s="470">
        <f>IF('Futterkurve Sauen'!G$6&gt;14,36+J$2,36+J$2+(14-'Futterkurve Sauen'!$G$6)*0.3)</f>
        <v>42</v>
      </c>
      <c r="E75" s="469">
        <f>D75/'Futterkurve Sauen'!$C$7</f>
        <v>3.5</v>
      </c>
      <c r="F75" s="470">
        <f>IF('Futterkurve Sauen'!G$6&gt;14,37+J$2,37+J$2+(14-'Futterkurve Sauen'!$G$6)*0.3)</f>
        <v>43</v>
      </c>
      <c r="G75" s="469">
        <f>F75/'Futterkurve Sauen'!$C$7</f>
        <v>3.5833333333333335</v>
      </c>
      <c r="H75" s="470">
        <f>IF('Futterkurve Sauen'!G$6&gt;14,34+J$2,34+J$2+(14-'Futterkurve Sauen'!$G$6)*0.3)</f>
        <v>40</v>
      </c>
      <c r="I75" s="469">
        <f>H75/'Futterkurve Sauen'!$C$7</f>
        <v>3.3333333333333335</v>
      </c>
    </row>
    <row r="76" spans="1:9" s="99" customFormat="1">
      <c r="A76" s="467">
        <v>75</v>
      </c>
      <c r="B76" s="468">
        <f>IF('Futterkurve Sauen'!G$6&gt;14,33,33+(14-'Futterkurve Sauen'!$G$6)*0.3+J$1)</f>
        <v>37</v>
      </c>
      <c r="C76" s="469">
        <f>B76/'Futterkurve Sauen'!$C$7</f>
        <v>3.0833333333333335</v>
      </c>
      <c r="D76" s="470">
        <f>IF('Futterkurve Sauen'!G$6&gt;14,36+J$2,36+J$2+(14-'Futterkurve Sauen'!$G$6)*0.3)</f>
        <v>42</v>
      </c>
      <c r="E76" s="469">
        <f>D76/'Futterkurve Sauen'!$C$7</f>
        <v>3.5</v>
      </c>
      <c r="F76" s="470">
        <f>IF('Futterkurve Sauen'!G$6&gt;14,37+J$2,37+J$2+(14-'Futterkurve Sauen'!$G$6)*0.3)</f>
        <v>43</v>
      </c>
      <c r="G76" s="469">
        <f>F76/'Futterkurve Sauen'!$C$7</f>
        <v>3.5833333333333335</v>
      </c>
      <c r="H76" s="470">
        <f>IF('Futterkurve Sauen'!G$6&gt;14,34+J$2,34+J$2+(14-'Futterkurve Sauen'!$G$6)*0.3)</f>
        <v>40</v>
      </c>
      <c r="I76" s="469">
        <f>H76/'Futterkurve Sauen'!$C$7</f>
        <v>3.3333333333333335</v>
      </c>
    </row>
    <row r="77" spans="1:9" s="99" customFormat="1">
      <c r="A77" s="467">
        <v>76</v>
      </c>
      <c r="B77" s="468">
        <f>IF('Futterkurve Sauen'!G$6&gt;14,33,33+(14-'Futterkurve Sauen'!$G$6)*0.3+J$1)</f>
        <v>37</v>
      </c>
      <c r="C77" s="469">
        <f>B77/'Futterkurve Sauen'!$C$7</f>
        <v>3.0833333333333335</v>
      </c>
      <c r="D77" s="470">
        <f>IF('Futterkurve Sauen'!G$6&gt;14,36+J$2,36+J$2+(14-'Futterkurve Sauen'!$G$6)*0.3)</f>
        <v>42</v>
      </c>
      <c r="E77" s="469">
        <f>D77/'Futterkurve Sauen'!$C$7</f>
        <v>3.5</v>
      </c>
      <c r="F77" s="470">
        <f>IF('Futterkurve Sauen'!G$6&gt;14,37+J$2,37+J$2+(14-'Futterkurve Sauen'!$G$6)*0.3)</f>
        <v>43</v>
      </c>
      <c r="G77" s="469">
        <f>F77/'Futterkurve Sauen'!$C$7</f>
        <v>3.5833333333333335</v>
      </c>
      <c r="H77" s="470">
        <f>IF('Futterkurve Sauen'!G$6&gt;14,34+J$2,34+J$2+(14-'Futterkurve Sauen'!$G$6)*0.3)</f>
        <v>40</v>
      </c>
      <c r="I77" s="469">
        <f>H77/'Futterkurve Sauen'!$C$7</f>
        <v>3.3333333333333335</v>
      </c>
    </row>
    <row r="78" spans="1:9" s="99" customFormat="1">
      <c r="A78" s="467">
        <v>77</v>
      </c>
      <c r="B78" s="468">
        <f>IF('Futterkurve Sauen'!G$6&gt;14,33,33+(14-'Futterkurve Sauen'!$G$6)*0.3+J$1)</f>
        <v>37</v>
      </c>
      <c r="C78" s="469">
        <f>B78/'Futterkurve Sauen'!$C$7</f>
        <v>3.0833333333333335</v>
      </c>
      <c r="D78" s="470">
        <f>IF('Futterkurve Sauen'!G$6&gt;14,36+J$2,36+J$2+(14-'Futterkurve Sauen'!$G$6)*0.3)</f>
        <v>42</v>
      </c>
      <c r="E78" s="469">
        <f>D78/'Futterkurve Sauen'!$C$7</f>
        <v>3.5</v>
      </c>
      <c r="F78" s="470">
        <f>IF('Futterkurve Sauen'!G$6&gt;14,37+J$2,37+J$2+(14-'Futterkurve Sauen'!$G$6)*0.3)</f>
        <v>43</v>
      </c>
      <c r="G78" s="469">
        <f>F78/'Futterkurve Sauen'!$C$7</f>
        <v>3.5833333333333335</v>
      </c>
      <c r="H78" s="470">
        <f>IF('Futterkurve Sauen'!G$6&gt;14,34+J$2,34+J$2+(14-'Futterkurve Sauen'!$G$6)*0.3)</f>
        <v>40</v>
      </c>
      <c r="I78" s="469">
        <f>H78/'Futterkurve Sauen'!$C$7</f>
        <v>3.3333333333333335</v>
      </c>
    </row>
    <row r="79" spans="1:9" s="99" customFormat="1">
      <c r="A79" s="467">
        <v>78</v>
      </c>
      <c r="B79" s="468">
        <f>IF('Futterkurve Sauen'!G$6&gt;14,33,33+(14-'Futterkurve Sauen'!$G$6)*0.3+J$1)</f>
        <v>37</v>
      </c>
      <c r="C79" s="469">
        <f>B79/'Futterkurve Sauen'!$C$7</f>
        <v>3.0833333333333335</v>
      </c>
      <c r="D79" s="470">
        <f>IF('Futterkurve Sauen'!G$6&gt;14,36+J$2,36+J$2+(14-'Futterkurve Sauen'!$G$6)*0.3)</f>
        <v>42</v>
      </c>
      <c r="E79" s="469">
        <f>D79/'Futterkurve Sauen'!$C$7</f>
        <v>3.5</v>
      </c>
      <c r="F79" s="470">
        <f>IF('Futterkurve Sauen'!G$6&gt;14,37+J$2,37+J$2+(14-'Futterkurve Sauen'!$G$6)*0.3)</f>
        <v>43</v>
      </c>
      <c r="G79" s="469">
        <f>F79/'Futterkurve Sauen'!$C$7</f>
        <v>3.5833333333333335</v>
      </c>
      <c r="H79" s="470">
        <f>IF('Futterkurve Sauen'!G$6&gt;14,34+J$2,34+J$2+(14-'Futterkurve Sauen'!$G$6)*0.3)</f>
        <v>40</v>
      </c>
      <c r="I79" s="469">
        <f>H79/'Futterkurve Sauen'!$C$7</f>
        <v>3.3333333333333335</v>
      </c>
    </row>
    <row r="80" spans="1:9" s="99" customFormat="1">
      <c r="A80" s="467">
        <v>79</v>
      </c>
      <c r="B80" s="468">
        <f>IF('Futterkurve Sauen'!G$6&gt;14,33,33+(14-'Futterkurve Sauen'!$G$6)*0.3+J$1)</f>
        <v>37</v>
      </c>
      <c r="C80" s="469">
        <f>B80/'Futterkurve Sauen'!$C$7</f>
        <v>3.0833333333333335</v>
      </c>
      <c r="D80" s="470">
        <f>IF('Futterkurve Sauen'!G$6&gt;14,36+J$2,36+J$2+(14-'Futterkurve Sauen'!$G$6)*0.3)</f>
        <v>42</v>
      </c>
      <c r="E80" s="469">
        <f>D80/'Futterkurve Sauen'!$C$7</f>
        <v>3.5</v>
      </c>
      <c r="F80" s="470">
        <f>IF('Futterkurve Sauen'!G$6&gt;14,37+J$2,37+J$2+(14-'Futterkurve Sauen'!$G$6)*0.3)</f>
        <v>43</v>
      </c>
      <c r="G80" s="469">
        <f>F80/'Futterkurve Sauen'!$C$7</f>
        <v>3.5833333333333335</v>
      </c>
      <c r="H80" s="470">
        <f>IF('Futterkurve Sauen'!G$6&gt;14,34+J$2,34+J$2+(14-'Futterkurve Sauen'!$G$6)*0.3)</f>
        <v>40</v>
      </c>
      <c r="I80" s="469">
        <f>H80/'Futterkurve Sauen'!$C$7</f>
        <v>3.3333333333333335</v>
      </c>
    </row>
    <row r="81" spans="1:9" s="99" customFormat="1">
      <c r="A81" s="467">
        <v>80</v>
      </c>
      <c r="B81" s="468">
        <f>IF('Futterkurve Sauen'!G$6&gt;14,33,33+(14-'Futterkurve Sauen'!$G$6)*0.3+J$1)</f>
        <v>37</v>
      </c>
      <c r="C81" s="469">
        <f>B81/'Futterkurve Sauen'!$C$7</f>
        <v>3.0833333333333335</v>
      </c>
      <c r="D81" s="470">
        <f>IF('Futterkurve Sauen'!G$6&gt;14,36+J$2,36+J$2+(14-'Futterkurve Sauen'!$G$6)*0.3)</f>
        <v>42</v>
      </c>
      <c r="E81" s="469">
        <f>D81/'Futterkurve Sauen'!$C$7</f>
        <v>3.5</v>
      </c>
      <c r="F81" s="470">
        <f>IF('Futterkurve Sauen'!G$6&gt;14,37+J$2,37+J$2+(14-'Futterkurve Sauen'!$G$6)*0.3)</f>
        <v>43</v>
      </c>
      <c r="G81" s="469">
        <f>F81/'Futterkurve Sauen'!$C$7</f>
        <v>3.5833333333333335</v>
      </c>
      <c r="H81" s="470">
        <f>IF('Futterkurve Sauen'!G$6&gt;14,34+J$2,34+J$2+(14-'Futterkurve Sauen'!$G$6)*0.3)</f>
        <v>40</v>
      </c>
      <c r="I81" s="469">
        <f>H81/'Futterkurve Sauen'!$C$7</f>
        <v>3.3333333333333335</v>
      </c>
    </row>
    <row r="82" spans="1:9" s="99" customFormat="1">
      <c r="A82" s="467">
        <v>81</v>
      </c>
      <c r="B82" s="468">
        <f>IF('Futterkurve Sauen'!G$6&gt;14,33,33+(14-'Futterkurve Sauen'!$G$6)*0.3+J$1)</f>
        <v>37</v>
      </c>
      <c r="C82" s="469">
        <f>B82/'Futterkurve Sauen'!$C$7</f>
        <v>3.0833333333333335</v>
      </c>
      <c r="D82" s="470">
        <f>IF('Futterkurve Sauen'!G$6&gt;14,36+J$2,36+J$2+(14-'Futterkurve Sauen'!$G$6)*0.3)</f>
        <v>42</v>
      </c>
      <c r="E82" s="469">
        <f>D82/'Futterkurve Sauen'!$C$7</f>
        <v>3.5</v>
      </c>
      <c r="F82" s="470">
        <f>IF('Futterkurve Sauen'!G$6&gt;14,37+J$2,37+J$2+(14-'Futterkurve Sauen'!$G$6)*0.3)</f>
        <v>43</v>
      </c>
      <c r="G82" s="469">
        <f>F82/'Futterkurve Sauen'!$C$7</f>
        <v>3.5833333333333335</v>
      </c>
      <c r="H82" s="470">
        <f>IF('Futterkurve Sauen'!G$6&gt;14,34+J$2,34+J$2+(14-'Futterkurve Sauen'!$G$6)*0.3)</f>
        <v>40</v>
      </c>
      <c r="I82" s="469">
        <f>H82/'Futterkurve Sauen'!$C$7</f>
        <v>3.3333333333333335</v>
      </c>
    </row>
    <row r="83" spans="1:9" s="99" customFormat="1">
      <c r="A83" s="467">
        <v>82</v>
      </c>
      <c r="B83" s="468">
        <f>IF('Futterkurve Sauen'!G$6&gt;14,33,33+(14-'Futterkurve Sauen'!$G$6)*0.3+J$1)</f>
        <v>37</v>
      </c>
      <c r="C83" s="469">
        <f>B83/'Futterkurve Sauen'!$C$7</f>
        <v>3.0833333333333335</v>
      </c>
      <c r="D83" s="470">
        <f>IF('Futterkurve Sauen'!G$6&gt;14,36+J$2,36+J$2+(14-'Futterkurve Sauen'!$G$6)*0.3)</f>
        <v>42</v>
      </c>
      <c r="E83" s="469">
        <f>D83/'Futterkurve Sauen'!$C$7</f>
        <v>3.5</v>
      </c>
      <c r="F83" s="470">
        <f>IF('Futterkurve Sauen'!G$6&gt;14,37+J$2,37+J$2+(14-'Futterkurve Sauen'!$G$6)*0.3)</f>
        <v>43</v>
      </c>
      <c r="G83" s="469">
        <f>F83/'Futterkurve Sauen'!$C$7</f>
        <v>3.5833333333333335</v>
      </c>
      <c r="H83" s="470">
        <f>IF('Futterkurve Sauen'!G$6&gt;14,34+J$2,34+J$2+(14-'Futterkurve Sauen'!$G$6)*0.3)</f>
        <v>40</v>
      </c>
      <c r="I83" s="469">
        <f>H83/'Futterkurve Sauen'!$C$7</f>
        <v>3.3333333333333335</v>
      </c>
    </row>
    <row r="84" spans="1:9" s="99" customFormat="1">
      <c r="A84" s="467">
        <v>83</v>
      </c>
      <c r="B84" s="468">
        <f>IF('Futterkurve Sauen'!G$6&gt;14,33,33+(14-'Futterkurve Sauen'!$G$6)*0.3+J$1)</f>
        <v>37</v>
      </c>
      <c r="C84" s="469">
        <f>B84/'Futterkurve Sauen'!$C$7</f>
        <v>3.0833333333333335</v>
      </c>
      <c r="D84" s="470">
        <f>IF('Futterkurve Sauen'!G$6&gt;14,36+J$2,36+J$2+(14-'Futterkurve Sauen'!$G$6)*0.3)</f>
        <v>42</v>
      </c>
      <c r="E84" s="469">
        <f>D84/'Futterkurve Sauen'!$C$7</f>
        <v>3.5</v>
      </c>
      <c r="F84" s="470">
        <f>IF('Futterkurve Sauen'!G$6&gt;14,37+J$2,37+J$2+(14-'Futterkurve Sauen'!$G$6)*0.3)</f>
        <v>43</v>
      </c>
      <c r="G84" s="469">
        <f>F84/'Futterkurve Sauen'!$C$7</f>
        <v>3.5833333333333335</v>
      </c>
      <c r="H84" s="470">
        <f>IF('Futterkurve Sauen'!G$6&gt;14,34+J$2,34+J$2+(14-'Futterkurve Sauen'!$G$6)*0.3)</f>
        <v>40</v>
      </c>
      <c r="I84" s="469">
        <f>H84/'Futterkurve Sauen'!$C$7</f>
        <v>3.3333333333333335</v>
      </c>
    </row>
    <row r="85" spans="1:9" s="99" customFormat="1">
      <c r="A85" s="467">
        <v>84</v>
      </c>
      <c r="B85" s="468">
        <f>IF('Futterkurve Sauen'!G$6&gt;14,33,33+(14-'Futterkurve Sauen'!$G$6)*0.3+J$1)</f>
        <v>37</v>
      </c>
      <c r="C85" s="469">
        <f>B85/'Futterkurve Sauen'!$C$7</f>
        <v>3.0833333333333335</v>
      </c>
      <c r="D85" s="470">
        <f>IF('Futterkurve Sauen'!G$6&gt;14,36+J$2,36+J$2+(14-'Futterkurve Sauen'!$G$6)*0.3)</f>
        <v>42</v>
      </c>
      <c r="E85" s="469">
        <f>D85/'Futterkurve Sauen'!$C$7</f>
        <v>3.5</v>
      </c>
      <c r="F85" s="470">
        <f>IF('Futterkurve Sauen'!G$6&gt;14,37+J$2,37+J$2+(14-'Futterkurve Sauen'!$G$6)*0.3)</f>
        <v>43</v>
      </c>
      <c r="G85" s="469">
        <f>F85/'Futterkurve Sauen'!$C$7</f>
        <v>3.5833333333333335</v>
      </c>
      <c r="H85" s="470">
        <f>IF('Futterkurve Sauen'!G$6&gt;14,34+J$2,34+J$2+(14-'Futterkurve Sauen'!$G$6)*0.3)</f>
        <v>40</v>
      </c>
      <c r="I85" s="469">
        <f>H85/'Futterkurve Sauen'!$C$7</f>
        <v>3.3333333333333335</v>
      </c>
    </row>
    <row r="86" spans="1:9" s="130" customFormat="1">
      <c r="A86" s="471">
        <v>85</v>
      </c>
      <c r="B86" s="472">
        <f>IF('Futterkurve Sauen'!G$6&gt;14,33,33+(14-'Futterkurve Sauen'!$G$6)*0.3+J$1)</f>
        <v>37</v>
      </c>
      <c r="C86" s="473">
        <f>B86/'Futterkurve Sauen'!$C$7</f>
        <v>3.0833333333333335</v>
      </c>
      <c r="D86" s="474">
        <f>IF('Futterkurve Sauen'!G$6&gt;14,36+J$2,36+J$2+(14-'Futterkurve Sauen'!$G$6)*0.3)</f>
        <v>42</v>
      </c>
      <c r="E86" s="473">
        <f>D86/'Futterkurve Sauen'!$C$7</f>
        <v>3.5</v>
      </c>
      <c r="F86" s="474">
        <f>IF('Futterkurve Sauen'!G$6&gt;14,37+J$2,37+J$2+(14-'Futterkurve Sauen'!$G$6)*0.3)</f>
        <v>43</v>
      </c>
      <c r="G86" s="473">
        <f>F86/'Futterkurve Sauen'!$C$7</f>
        <v>3.5833333333333335</v>
      </c>
      <c r="H86" s="474">
        <f>IF('Futterkurve Sauen'!G$6&gt;14,34+J$2,34+J$2+(14-'Futterkurve Sauen'!$G$6)*0.3)</f>
        <v>40</v>
      </c>
      <c r="I86" s="473">
        <f>H86/'Futterkurve Sauen'!$C$7</f>
        <v>3.3333333333333335</v>
      </c>
    </row>
    <row r="87" spans="1:9" s="115" customFormat="1">
      <c r="A87" s="116">
        <v>86</v>
      </c>
      <c r="B87" s="117">
        <f>IF($B$86&gt;$B$109,$B$86,IF('Futterkurve Sauen'!G$6&gt;14,39,39+(14-'Futterkurve Sauen'!$G$6)*0.3))</f>
        <v>39</v>
      </c>
      <c r="C87" s="118">
        <f>B87/'Futterkurve Sauen'!$E$7</f>
        <v>3.25</v>
      </c>
      <c r="D87" s="117">
        <f>IF($D$86&gt;$D$109,$D$86,IF('Futterkurve Sauen'!G$6&gt;14,42,42+(14-'Futterkurve Sauen'!$G$6)*0.3))</f>
        <v>42</v>
      </c>
      <c r="E87" s="118">
        <f>D87/'Futterkurve Sauen'!$E$7</f>
        <v>3.5</v>
      </c>
      <c r="F87" s="117">
        <f>IF($F$86&gt;$F$109,$F$86,IF('Futterkurve Sauen'!G$6&gt;14,43,43+(14-'Futterkurve Sauen'!$G$6)*0.3))</f>
        <v>43</v>
      </c>
      <c r="G87" s="118">
        <f>F87/'Futterkurve Sauen'!$E$7</f>
        <v>3.5833333333333335</v>
      </c>
      <c r="H87" s="117">
        <f>IF($H$86&gt;$H$109,$H$86,IF('Futterkurve Sauen'!G$6&gt;14,39,39+(14-'Futterkurve Sauen'!$G$6)*0.3))</f>
        <v>40</v>
      </c>
      <c r="I87" s="118">
        <f>H87/'Futterkurve Sauen'!$E$7</f>
        <v>3.3333333333333335</v>
      </c>
    </row>
    <row r="88" spans="1:9" s="99" customFormat="1">
      <c r="A88" s="185">
        <v>87</v>
      </c>
      <c r="B88" s="129">
        <f>IF($B$86&gt;$B$109,$B$86,IF('Futterkurve Sauen'!G$6&gt;14,39,39+(14-'Futterkurve Sauen'!$G$6)*0.3))</f>
        <v>39</v>
      </c>
      <c r="C88" s="122">
        <f>B88/'Futterkurve Sauen'!$E$7</f>
        <v>3.25</v>
      </c>
      <c r="D88" s="1119">
        <f>IF($D$86&gt;$D$109,$D$86,IF('Futterkurve Sauen'!G$6&gt;14,42,42+(14-'Futterkurve Sauen'!$G$6)*0.3))</f>
        <v>42</v>
      </c>
      <c r="E88" s="122">
        <f>D88/'Futterkurve Sauen'!$E$7</f>
        <v>3.5</v>
      </c>
      <c r="F88" s="129">
        <f>IF($F$86&gt;$F$109,$F$86,IF('Futterkurve Sauen'!G$6&gt;14,43,43+(14-'Futterkurve Sauen'!$G$6)*0.3))</f>
        <v>43</v>
      </c>
      <c r="G88" s="122">
        <f>F88/'Futterkurve Sauen'!$E$7</f>
        <v>3.5833333333333335</v>
      </c>
      <c r="H88" s="129">
        <f>IF($H$86&gt;$H$109,$H$86,IF('Futterkurve Sauen'!G$6&gt;14,39,39+(14-'Futterkurve Sauen'!$G$6)*0.3))</f>
        <v>40</v>
      </c>
      <c r="I88" s="122">
        <f>H88/'Futterkurve Sauen'!$E$7</f>
        <v>3.3333333333333335</v>
      </c>
    </row>
    <row r="89" spans="1:9" s="99" customFormat="1">
      <c r="A89" s="109">
        <v>88</v>
      </c>
      <c r="B89" s="129">
        <f>IF($B$86&gt;$B$109,$B$86,IF('Futterkurve Sauen'!G$6&gt;14,39,39+(14-'Futterkurve Sauen'!$G$6)*0.3))</f>
        <v>39</v>
      </c>
      <c r="C89" s="122">
        <f>B89/'Futterkurve Sauen'!$E$7</f>
        <v>3.25</v>
      </c>
      <c r="D89" s="1119">
        <f>IF($D$86&gt;$D$109,$D$86,IF('Futterkurve Sauen'!G$6&gt;14,42,42+(14-'Futterkurve Sauen'!$G$6)*0.3))</f>
        <v>42</v>
      </c>
      <c r="E89" s="122">
        <f>D89/'Futterkurve Sauen'!$E$7</f>
        <v>3.5</v>
      </c>
      <c r="F89" s="129">
        <f>IF($F$86&gt;$F$109,$F$86,IF('Futterkurve Sauen'!G$6&gt;14,43,43+(14-'Futterkurve Sauen'!$G$6)*0.3))</f>
        <v>43</v>
      </c>
      <c r="G89" s="122">
        <f>F89/'Futterkurve Sauen'!$E$7</f>
        <v>3.5833333333333335</v>
      </c>
      <c r="H89" s="129">
        <f>IF($H$86&gt;$H$109,$H$86,IF('Futterkurve Sauen'!G$6&gt;14,39,39+(14-'Futterkurve Sauen'!$G$6)*0.3))</f>
        <v>40</v>
      </c>
      <c r="I89" s="122">
        <f>H89/'Futterkurve Sauen'!$E$7</f>
        <v>3.3333333333333335</v>
      </c>
    </row>
    <row r="90" spans="1:9" s="130" customFormat="1">
      <c r="A90" s="185">
        <v>89</v>
      </c>
      <c r="B90" s="129">
        <f>IF($B$86&gt;$B$109,$B$86,IF('Futterkurve Sauen'!G$6&gt;14,39,39+(14-'Futterkurve Sauen'!$G$6)*0.3))</f>
        <v>39</v>
      </c>
      <c r="C90" s="122">
        <f>B90/'Futterkurve Sauen'!$E$7</f>
        <v>3.25</v>
      </c>
      <c r="D90" s="1119">
        <f>IF($D$86&gt;$D$109,$D$86,IF('Futterkurve Sauen'!G$6&gt;14,42,42+(14-'Futterkurve Sauen'!$G$6)*0.3))</f>
        <v>42</v>
      </c>
      <c r="E90" s="122">
        <f>D90/'Futterkurve Sauen'!$E$7</f>
        <v>3.5</v>
      </c>
      <c r="F90" s="129">
        <f>IF($F$86&gt;$F$109,$F$86,IF('Futterkurve Sauen'!G$6&gt;14,43,43+(14-'Futterkurve Sauen'!$G$6)*0.3))</f>
        <v>43</v>
      </c>
      <c r="G90" s="122">
        <f>F90/'Futterkurve Sauen'!$E$7</f>
        <v>3.5833333333333335</v>
      </c>
      <c r="H90" s="129">
        <f>IF($H$86&gt;$H$109,$H$86,IF('Futterkurve Sauen'!G$6&gt;14,39,39+(14-'Futterkurve Sauen'!$G$6)*0.3))</f>
        <v>40</v>
      </c>
      <c r="I90" s="122">
        <f>H90/'Futterkurve Sauen'!$E$7</f>
        <v>3.3333333333333335</v>
      </c>
    </row>
    <row r="91" spans="1:9" s="99" customFormat="1">
      <c r="A91" s="109">
        <v>90</v>
      </c>
      <c r="B91" s="129">
        <f>IF($B$86&gt;$B$109,$B$86,IF('Futterkurve Sauen'!G$6&gt;14,39,39+(14-'Futterkurve Sauen'!$G$6)*0.3))</f>
        <v>39</v>
      </c>
      <c r="C91" s="122">
        <f>B91/'Futterkurve Sauen'!$E$7</f>
        <v>3.25</v>
      </c>
      <c r="D91" s="1119">
        <f>IF($D$86&gt;$D$109,$D$86,IF('Futterkurve Sauen'!G$6&gt;14,42,42+(14-'Futterkurve Sauen'!$G$6)*0.3))</f>
        <v>42</v>
      </c>
      <c r="E91" s="122">
        <f>D91/'Futterkurve Sauen'!$E$7</f>
        <v>3.5</v>
      </c>
      <c r="F91" s="129">
        <f>IF($F$86&gt;$F$109,$F$86,IF('Futterkurve Sauen'!G$6&gt;14,43,43+(14-'Futterkurve Sauen'!$G$6)*0.3))</f>
        <v>43</v>
      </c>
      <c r="G91" s="122">
        <f>F91/'Futterkurve Sauen'!$E$7</f>
        <v>3.5833333333333335</v>
      </c>
      <c r="H91" s="129">
        <f>IF($H$86&gt;$H$109,$H$86,IF('Futterkurve Sauen'!G$6&gt;14,39,39+(14-'Futterkurve Sauen'!$G$6)*0.3))</f>
        <v>40</v>
      </c>
      <c r="I91" s="122">
        <f>H91/'Futterkurve Sauen'!$E$7</f>
        <v>3.3333333333333335</v>
      </c>
    </row>
    <row r="92" spans="1:9" s="99" customFormat="1">
      <c r="A92" s="109">
        <v>91</v>
      </c>
      <c r="B92" s="129">
        <f>IF($B$86&gt;$B$109,$B$86,IF('Futterkurve Sauen'!G$6&gt;14,39,39+(14-'Futterkurve Sauen'!$G$6)*0.3))</f>
        <v>39</v>
      </c>
      <c r="C92" s="122">
        <f>B92/'Futterkurve Sauen'!$E$7</f>
        <v>3.25</v>
      </c>
      <c r="D92" s="1119">
        <f>IF($D$86&gt;$D$109,$D$86,IF('Futterkurve Sauen'!G$6&gt;14,42,42+(14-'Futterkurve Sauen'!$G$6)*0.3))</f>
        <v>42</v>
      </c>
      <c r="E92" s="122">
        <f>D92/'Futterkurve Sauen'!$E$7</f>
        <v>3.5</v>
      </c>
      <c r="F92" s="129">
        <f>IF($F$86&gt;$F$109,$F$86,IF('Futterkurve Sauen'!G$6&gt;14,43,43+(14-'Futterkurve Sauen'!$G$6)*0.3))</f>
        <v>43</v>
      </c>
      <c r="G92" s="122">
        <f>F92/'Futterkurve Sauen'!$E$7</f>
        <v>3.5833333333333335</v>
      </c>
      <c r="H92" s="129">
        <f>IF($H$86&gt;$H$109,$H$86,IF('Futterkurve Sauen'!G$6&gt;14,39,39+(14-'Futterkurve Sauen'!$G$6)*0.3))</f>
        <v>40</v>
      </c>
      <c r="I92" s="122">
        <f>H92/'Futterkurve Sauen'!$E$7</f>
        <v>3.3333333333333335</v>
      </c>
    </row>
    <row r="93" spans="1:9" s="99" customFormat="1">
      <c r="A93" s="109">
        <v>92</v>
      </c>
      <c r="B93" s="129">
        <f>IF($B$86&gt;$B$109,$B$86,IF('Futterkurve Sauen'!G$6&gt;14,39,39+(14-'Futterkurve Sauen'!$G$6)*0.3))</f>
        <v>39</v>
      </c>
      <c r="C93" s="122">
        <f>B93/'Futterkurve Sauen'!$E$7</f>
        <v>3.25</v>
      </c>
      <c r="D93" s="1119">
        <f>IF($D$86&gt;$D$109,$D$86,IF('Futterkurve Sauen'!G$6&gt;14,42,42+(14-'Futterkurve Sauen'!$G$6)*0.3))</f>
        <v>42</v>
      </c>
      <c r="E93" s="122">
        <f>D93/'Futterkurve Sauen'!$E$7</f>
        <v>3.5</v>
      </c>
      <c r="F93" s="129">
        <f>IF($F$86&gt;$F$109,$F$86,IF('Futterkurve Sauen'!G$6&gt;14,43,43+(14-'Futterkurve Sauen'!$G$6)*0.3))</f>
        <v>43</v>
      </c>
      <c r="G93" s="122">
        <f>F93/'Futterkurve Sauen'!$E$7</f>
        <v>3.5833333333333335</v>
      </c>
      <c r="H93" s="129">
        <f>IF($H$86&gt;$H$109,$H$86,IF('Futterkurve Sauen'!G$6&gt;14,39,39+(14-'Futterkurve Sauen'!$G$6)*0.3))</f>
        <v>40</v>
      </c>
      <c r="I93" s="122">
        <f>H93/'Futterkurve Sauen'!$E$7</f>
        <v>3.3333333333333335</v>
      </c>
    </row>
    <row r="94" spans="1:9" s="99" customFormat="1">
      <c r="A94" s="109">
        <v>93</v>
      </c>
      <c r="B94" s="129">
        <f>IF($B$86&gt;$B$109,$B$86,IF('Futterkurve Sauen'!G$6&gt;14,39,39+(14-'Futterkurve Sauen'!$G$6)*0.3))</f>
        <v>39</v>
      </c>
      <c r="C94" s="122">
        <f>B94/'Futterkurve Sauen'!$E$7</f>
        <v>3.25</v>
      </c>
      <c r="D94" s="1119">
        <f>IF($D$86&gt;$D$109,$D$86,IF('Futterkurve Sauen'!G$6&gt;14,42,42+(14-'Futterkurve Sauen'!$G$6)*0.3))</f>
        <v>42</v>
      </c>
      <c r="E94" s="122">
        <f>D94/'Futterkurve Sauen'!$E$7</f>
        <v>3.5</v>
      </c>
      <c r="F94" s="129">
        <f>IF($F$86&gt;$F$109,$F$86,IF('Futterkurve Sauen'!G$6&gt;14,43,43+(14-'Futterkurve Sauen'!$G$6)*0.3))</f>
        <v>43</v>
      </c>
      <c r="G94" s="122">
        <f>F94/'Futterkurve Sauen'!$E$7</f>
        <v>3.5833333333333335</v>
      </c>
      <c r="H94" s="129">
        <f>IF($H$86&gt;$H$109,$H$86,IF('Futterkurve Sauen'!G$6&gt;14,39,39+(14-'Futterkurve Sauen'!$G$6)*0.3))</f>
        <v>40</v>
      </c>
      <c r="I94" s="122">
        <f>H94/'Futterkurve Sauen'!$E$7</f>
        <v>3.3333333333333335</v>
      </c>
    </row>
    <row r="95" spans="1:9" s="99" customFormat="1">
      <c r="A95" s="109">
        <v>94</v>
      </c>
      <c r="B95" s="129">
        <f>IF($B$86&gt;$B$109,$B$86,IF('Futterkurve Sauen'!G$6&gt;14,39,39+(14-'Futterkurve Sauen'!$G$6)*0.3))</f>
        <v>39</v>
      </c>
      <c r="C95" s="122">
        <f>B95/'Futterkurve Sauen'!$E$7</f>
        <v>3.25</v>
      </c>
      <c r="D95" s="1119">
        <f>IF($D$86&gt;$D$109,$D$86,IF('Futterkurve Sauen'!G$6&gt;14,42,42+(14-'Futterkurve Sauen'!$G$6)*0.3))</f>
        <v>42</v>
      </c>
      <c r="E95" s="122">
        <f>D95/'Futterkurve Sauen'!$E$7</f>
        <v>3.5</v>
      </c>
      <c r="F95" s="129">
        <f>IF($F$86&gt;$F$109,$F$86,IF('Futterkurve Sauen'!G$6&gt;14,43,43+(14-'Futterkurve Sauen'!$G$6)*0.3))</f>
        <v>43</v>
      </c>
      <c r="G95" s="122">
        <f>F95/'Futterkurve Sauen'!$E$7</f>
        <v>3.5833333333333335</v>
      </c>
      <c r="H95" s="129">
        <f>IF($H$86&gt;$H$109,$H$86,IF('Futterkurve Sauen'!G$6&gt;14,39,39+(14-'Futterkurve Sauen'!$G$6)*0.3))</f>
        <v>40</v>
      </c>
      <c r="I95" s="122">
        <f>H95/'Futterkurve Sauen'!$E$7</f>
        <v>3.3333333333333335</v>
      </c>
    </row>
    <row r="96" spans="1:9" s="99" customFormat="1">
      <c r="A96" s="109">
        <v>95</v>
      </c>
      <c r="B96" s="129">
        <f>IF($B$86&gt;$B$109,$B$86,IF('Futterkurve Sauen'!G$6&gt;14,39,39+(14-'Futterkurve Sauen'!$G$6)*0.3))</f>
        <v>39</v>
      </c>
      <c r="C96" s="122">
        <f>B96/'Futterkurve Sauen'!$E$7</f>
        <v>3.25</v>
      </c>
      <c r="D96" s="1119">
        <f>IF($D$86&gt;$D$109,$D$86,IF('Futterkurve Sauen'!G$6&gt;14,42,42+(14-'Futterkurve Sauen'!$G$6)*0.3))</f>
        <v>42</v>
      </c>
      <c r="E96" s="122">
        <f>D96/'Futterkurve Sauen'!$E$7</f>
        <v>3.5</v>
      </c>
      <c r="F96" s="129">
        <f>IF($F$86&gt;$F$109,$F$86,IF('Futterkurve Sauen'!G$6&gt;14,43,43+(14-'Futterkurve Sauen'!$G$6)*0.3))</f>
        <v>43</v>
      </c>
      <c r="G96" s="122">
        <f>F96/'Futterkurve Sauen'!$E$7</f>
        <v>3.5833333333333335</v>
      </c>
      <c r="H96" s="129">
        <f>IF($H$86&gt;$H$109,$H$86,IF('Futterkurve Sauen'!G$6&gt;14,39,39+(14-'Futterkurve Sauen'!$G$6)*0.3))</f>
        <v>40</v>
      </c>
      <c r="I96" s="122">
        <f>H96/'Futterkurve Sauen'!$E$7</f>
        <v>3.3333333333333335</v>
      </c>
    </row>
    <row r="97" spans="1:9" s="99" customFormat="1">
      <c r="A97" s="109">
        <v>96</v>
      </c>
      <c r="B97" s="129">
        <f>IF($B$86&gt;$B$109,$B$86,IF('Futterkurve Sauen'!G$6&gt;14,39,39+(14-'Futterkurve Sauen'!$G$6)*0.3))</f>
        <v>39</v>
      </c>
      <c r="C97" s="122">
        <f>B97/'Futterkurve Sauen'!$E$7</f>
        <v>3.25</v>
      </c>
      <c r="D97" s="1119">
        <f>IF($D$86&gt;$D$109,$D$86,IF('Futterkurve Sauen'!G$6&gt;14,42,42+(14-'Futterkurve Sauen'!$G$6)*0.3))</f>
        <v>42</v>
      </c>
      <c r="E97" s="122">
        <f>D97/'Futterkurve Sauen'!$E$7</f>
        <v>3.5</v>
      </c>
      <c r="F97" s="129">
        <f>IF($F$86&gt;$F$109,$F$86,IF('Futterkurve Sauen'!G$6&gt;14,43,43+(14-'Futterkurve Sauen'!$G$6)*0.3))</f>
        <v>43</v>
      </c>
      <c r="G97" s="122">
        <f>F97/'Futterkurve Sauen'!$E$7</f>
        <v>3.5833333333333335</v>
      </c>
      <c r="H97" s="129">
        <f>IF($H$86&gt;$H$109,$H$86,IF('Futterkurve Sauen'!G$6&gt;14,39,39+(14-'Futterkurve Sauen'!$G$6)*0.3))</f>
        <v>40</v>
      </c>
      <c r="I97" s="122">
        <f>H97/'Futterkurve Sauen'!$E$7</f>
        <v>3.3333333333333335</v>
      </c>
    </row>
    <row r="98" spans="1:9" s="99" customFormat="1">
      <c r="A98" s="109">
        <v>97</v>
      </c>
      <c r="B98" s="129">
        <f>IF($B$86&gt;$B$109,$B$86,IF('Futterkurve Sauen'!G$6&gt;14,39,39+(14-'Futterkurve Sauen'!$G$6)*0.3))</f>
        <v>39</v>
      </c>
      <c r="C98" s="122">
        <f>B98/'Futterkurve Sauen'!$E$7</f>
        <v>3.25</v>
      </c>
      <c r="D98" s="1119">
        <f>IF($D$86&gt;$D$109,$D$86,IF('Futterkurve Sauen'!G$6&gt;14,42,42+(14-'Futterkurve Sauen'!$G$6)*0.3))</f>
        <v>42</v>
      </c>
      <c r="E98" s="122">
        <f>D98/'Futterkurve Sauen'!$E$7</f>
        <v>3.5</v>
      </c>
      <c r="F98" s="129">
        <f>IF($F$86&gt;$F$109,$F$86,IF('Futterkurve Sauen'!G$6&gt;14,43,43+(14-'Futterkurve Sauen'!$G$6)*0.3))</f>
        <v>43</v>
      </c>
      <c r="G98" s="122">
        <f>F98/'Futterkurve Sauen'!$E$7</f>
        <v>3.5833333333333335</v>
      </c>
      <c r="H98" s="129">
        <f>IF($H$86&gt;$H$109,$H$86,IF('Futterkurve Sauen'!G$6&gt;14,39,39+(14-'Futterkurve Sauen'!$G$6)*0.3))</f>
        <v>40</v>
      </c>
      <c r="I98" s="122">
        <f>H98/'Futterkurve Sauen'!$E$7</f>
        <v>3.3333333333333335</v>
      </c>
    </row>
    <row r="99" spans="1:9" s="99" customFormat="1">
      <c r="A99" s="109">
        <v>98</v>
      </c>
      <c r="B99" s="129">
        <f>IF($B$86&gt;$B$109,$B$86,IF('Futterkurve Sauen'!G$6&gt;14,39,39+(14-'Futterkurve Sauen'!$G$6)*0.3))</f>
        <v>39</v>
      </c>
      <c r="C99" s="122">
        <f>B99/'Futterkurve Sauen'!$E$7</f>
        <v>3.25</v>
      </c>
      <c r="D99" s="1119">
        <f>IF($D$86&gt;$D$109,$D$86,IF('Futterkurve Sauen'!G$6&gt;14,42,42+(14-'Futterkurve Sauen'!$G$6)*0.3))</f>
        <v>42</v>
      </c>
      <c r="E99" s="122">
        <f>D99/'Futterkurve Sauen'!$E$7</f>
        <v>3.5</v>
      </c>
      <c r="F99" s="129">
        <f>IF($F$86&gt;$F$109,$F$86,IF('Futterkurve Sauen'!G$6&gt;14,43,43+(14-'Futterkurve Sauen'!$G$6)*0.3))</f>
        <v>43</v>
      </c>
      <c r="G99" s="122">
        <f>F99/'Futterkurve Sauen'!$E$7</f>
        <v>3.5833333333333335</v>
      </c>
      <c r="H99" s="129">
        <f>IF($H$86&gt;$H$109,$H$86,IF('Futterkurve Sauen'!G$6&gt;14,39,39+(14-'Futterkurve Sauen'!$G$6)*0.3))</f>
        <v>40</v>
      </c>
      <c r="I99" s="122">
        <f>H99/'Futterkurve Sauen'!$E$7</f>
        <v>3.3333333333333335</v>
      </c>
    </row>
    <row r="100" spans="1:9" s="99" customFormat="1">
      <c r="A100" s="109">
        <v>99</v>
      </c>
      <c r="B100" s="129">
        <f>IF($B$86&gt;$B$109,$B$86,IF('Futterkurve Sauen'!G$6&gt;14,39,39+(14-'Futterkurve Sauen'!$G$6)*0.3))</f>
        <v>39</v>
      </c>
      <c r="C100" s="122">
        <f>B100/'Futterkurve Sauen'!$E$7</f>
        <v>3.25</v>
      </c>
      <c r="D100" s="1119">
        <f>IF($D$86&gt;$D$109,$D$86,IF('Futterkurve Sauen'!G$6&gt;14,42,42+(14-'Futterkurve Sauen'!$G$6)*0.3))</f>
        <v>42</v>
      </c>
      <c r="E100" s="122">
        <f>D100/'Futterkurve Sauen'!$E$7</f>
        <v>3.5</v>
      </c>
      <c r="F100" s="129">
        <f>IF($F$86&gt;$F$109,$F$86,IF('Futterkurve Sauen'!G$6&gt;14,43,43+(14-'Futterkurve Sauen'!$G$6)*0.3))</f>
        <v>43</v>
      </c>
      <c r="G100" s="122">
        <f>F100/'Futterkurve Sauen'!$E$7</f>
        <v>3.5833333333333335</v>
      </c>
      <c r="H100" s="129">
        <f>IF($H$86&gt;$H$109,$H$86,IF('Futterkurve Sauen'!G$6&gt;14,39,39+(14-'Futterkurve Sauen'!$G$6)*0.3))</f>
        <v>40</v>
      </c>
      <c r="I100" s="122">
        <f>H100/'Futterkurve Sauen'!$E$7</f>
        <v>3.3333333333333335</v>
      </c>
    </row>
    <row r="101" spans="1:9" s="99" customFormat="1">
      <c r="A101" s="109">
        <v>100</v>
      </c>
      <c r="B101" s="129">
        <f>IF($B$86&gt;$B$109,$B$86,IF('Futterkurve Sauen'!G$6&gt;14,39,39+(14-'Futterkurve Sauen'!$G$6)*0.3))</f>
        <v>39</v>
      </c>
      <c r="C101" s="122">
        <f>B101/'Futterkurve Sauen'!$E$7</f>
        <v>3.25</v>
      </c>
      <c r="D101" s="1119">
        <f>IF($D$86&gt;$D$109,$D$86,IF('Futterkurve Sauen'!G$6&gt;14,42,42+(14-'Futterkurve Sauen'!$G$6)*0.3))</f>
        <v>42</v>
      </c>
      <c r="E101" s="122">
        <f>D101/'Futterkurve Sauen'!$E$7</f>
        <v>3.5</v>
      </c>
      <c r="F101" s="129">
        <f>IF($F$86&gt;$F$109,$F$86,IF('Futterkurve Sauen'!G$6&gt;14,43,43+(14-'Futterkurve Sauen'!$G$6)*0.3))</f>
        <v>43</v>
      </c>
      <c r="G101" s="122">
        <f>F101/'Futterkurve Sauen'!$E$7</f>
        <v>3.5833333333333335</v>
      </c>
      <c r="H101" s="129">
        <f>IF($H$86&gt;$H$109,$H$86,IF('Futterkurve Sauen'!G$6&gt;14,39,39+(14-'Futterkurve Sauen'!$G$6)*0.3))</f>
        <v>40</v>
      </c>
      <c r="I101" s="122">
        <f>H101/'Futterkurve Sauen'!$E$7</f>
        <v>3.3333333333333335</v>
      </c>
    </row>
    <row r="102" spans="1:9" s="99" customFormat="1">
      <c r="A102" s="109">
        <v>101</v>
      </c>
      <c r="B102" s="129">
        <f>IF($B$86&gt;$B$109,$B$86,IF('Futterkurve Sauen'!G$6&gt;14,39,39+(14-'Futterkurve Sauen'!$G$6)*0.3))</f>
        <v>39</v>
      </c>
      <c r="C102" s="122">
        <f>B102/'Futterkurve Sauen'!$E$7</f>
        <v>3.25</v>
      </c>
      <c r="D102" s="1119">
        <f>IF($D$86&gt;$D$109,$D$86,IF('Futterkurve Sauen'!G$6&gt;14,42,42+(14-'Futterkurve Sauen'!$G$6)*0.3))</f>
        <v>42</v>
      </c>
      <c r="E102" s="122">
        <f>D102/'Futterkurve Sauen'!$E$7</f>
        <v>3.5</v>
      </c>
      <c r="F102" s="129">
        <f>IF($F$86&gt;$F$109,$F$86,IF('Futterkurve Sauen'!G$6&gt;14,43,43+(14-'Futterkurve Sauen'!$G$6)*0.3))</f>
        <v>43</v>
      </c>
      <c r="G102" s="122">
        <f>F102/'Futterkurve Sauen'!$E$7</f>
        <v>3.5833333333333335</v>
      </c>
      <c r="H102" s="129">
        <f>IF($H$86&gt;$H$109,$H$86,IF('Futterkurve Sauen'!G$6&gt;14,39,39+(14-'Futterkurve Sauen'!$G$6)*0.3))</f>
        <v>40</v>
      </c>
      <c r="I102" s="122">
        <f>H102/'Futterkurve Sauen'!$E$7</f>
        <v>3.3333333333333335</v>
      </c>
    </row>
    <row r="103" spans="1:9" s="99" customFormat="1">
      <c r="A103" s="109">
        <v>102</v>
      </c>
      <c r="B103" s="129">
        <f>IF($B$86&gt;$B$109,$B$86,IF('Futterkurve Sauen'!G$6&gt;14,39,39+(14-'Futterkurve Sauen'!$G$6)*0.3))</f>
        <v>39</v>
      </c>
      <c r="C103" s="122">
        <f>B103/'Futterkurve Sauen'!$E$7</f>
        <v>3.25</v>
      </c>
      <c r="D103" s="1119">
        <f>IF($D$86&gt;$D$109,$D$86,IF('Futterkurve Sauen'!G$6&gt;14,42,42+(14-'Futterkurve Sauen'!$G$6)*0.3))</f>
        <v>42</v>
      </c>
      <c r="E103" s="122">
        <f>D103/'Futterkurve Sauen'!$E$7</f>
        <v>3.5</v>
      </c>
      <c r="F103" s="129">
        <f>IF($F$86&gt;$F$109,$F$86,IF('Futterkurve Sauen'!G$6&gt;14,43,43+(14-'Futterkurve Sauen'!$G$6)*0.3))</f>
        <v>43</v>
      </c>
      <c r="G103" s="122">
        <f>F103/'Futterkurve Sauen'!$E$7</f>
        <v>3.5833333333333335</v>
      </c>
      <c r="H103" s="129">
        <f>IF($H$86&gt;$H$109,$H$86,IF('Futterkurve Sauen'!G$6&gt;14,39,39+(14-'Futterkurve Sauen'!$G$6)*0.3))</f>
        <v>40</v>
      </c>
      <c r="I103" s="122">
        <f>H103/'Futterkurve Sauen'!$E$7</f>
        <v>3.3333333333333335</v>
      </c>
    </row>
    <row r="104" spans="1:9" s="99" customFormat="1">
      <c r="A104" s="109">
        <v>103</v>
      </c>
      <c r="B104" s="129">
        <f>IF($B$86&gt;$B$109,$B$86,IF('Futterkurve Sauen'!G$6&gt;14,39,39+(14-'Futterkurve Sauen'!$G$6)*0.3))</f>
        <v>39</v>
      </c>
      <c r="C104" s="122">
        <f>B104/'Futterkurve Sauen'!$E$7</f>
        <v>3.25</v>
      </c>
      <c r="D104" s="1119">
        <f>IF($D$86&gt;$D$109,$D$86,IF('Futterkurve Sauen'!G$6&gt;14,42,42+(14-'Futterkurve Sauen'!$G$6)*0.3))</f>
        <v>42</v>
      </c>
      <c r="E104" s="122">
        <f>D104/'Futterkurve Sauen'!$E$7</f>
        <v>3.5</v>
      </c>
      <c r="F104" s="129">
        <f>IF($F$86&gt;$F$109,$F$86,IF('Futterkurve Sauen'!G$6&gt;14,43,43+(14-'Futterkurve Sauen'!$G$6)*0.3))</f>
        <v>43</v>
      </c>
      <c r="G104" s="122">
        <f>F104/'Futterkurve Sauen'!$E$7</f>
        <v>3.5833333333333335</v>
      </c>
      <c r="H104" s="129">
        <f>IF($H$86&gt;$H$109,$H$86,IF('Futterkurve Sauen'!G$6&gt;14,39,39+(14-'Futterkurve Sauen'!$G$6)*0.3))</f>
        <v>40</v>
      </c>
      <c r="I104" s="122">
        <f>H104/'Futterkurve Sauen'!$E$7</f>
        <v>3.3333333333333335</v>
      </c>
    </row>
    <row r="105" spans="1:9" s="99" customFormat="1">
      <c r="A105" s="109">
        <v>104</v>
      </c>
      <c r="B105" s="129">
        <f>IF($B$86&gt;$B$109,$B$86,IF('Futterkurve Sauen'!G$6&gt;14,39,39+(14-'Futterkurve Sauen'!$G$6)*0.3))</f>
        <v>39</v>
      </c>
      <c r="C105" s="122">
        <f>B105/'Futterkurve Sauen'!$E$7</f>
        <v>3.25</v>
      </c>
      <c r="D105" s="1119">
        <f>IF($D$86&gt;$D$109,$D$86,IF('Futterkurve Sauen'!G$6&gt;14,42,42+(14-'Futterkurve Sauen'!$G$6)*0.3))</f>
        <v>42</v>
      </c>
      <c r="E105" s="122">
        <f>D105/'Futterkurve Sauen'!$E$7</f>
        <v>3.5</v>
      </c>
      <c r="F105" s="129">
        <f>IF($F$86&gt;$F$109,$F$86,IF('Futterkurve Sauen'!G$6&gt;14,43,43+(14-'Futterkurve Sauen'!$G$6)*0.3))</f>
        <v>43</v>
      </c>
      <c r="G105" s="122">
        <f>F105/'Futterkurve Sauen'!$E$7</f>
        <v>3.5833333333333335</v>
      </c>
      <c r="H105" s="129">
        <f>IF($H$86&gt;$H$109,$H$86,IF('Futterkurve Sauen'!G$6&gt;14,39,39+(14-'Futterkurve Sauen'!$G$6)*0.3))</f>
        <v>40</v>
      </c>
      <c r="I105" s="122">
        <f>H105/'Futterkurve Sauen'!$E$7</f>
        <v>3.3333333333333335</v>
      </c>
    </row>
    <row r="106" spans="1:9" s="99" customFormat="1">
      <c r="A106" s="109">
        <v>105</v>
      </c>
      <c r="B106" s="129">
        <f>IF($B$86&gt;$B$109,$B$86,IF('Futterkurve Sauen'!G$6&gt;14,39,39+(14-'Futterkurve Sauen'!$G$6)*0.3))</f>
        <v>39</v>
      </c>
      <c r="C106" s="122">
        <f>B106/'Futterkurve Sauen'!$E$7</f>
        <v>3.25</v>
      </c>
      <c r="D106" s="1119">
        <f>IF($D$86&gt;$D$109,$D$86,IF('Futterkurve Sauen'!G$6&gt;14,42,42+(14-'Futterkurve Sauen'!$G$6)*0.3))</f>
        <v>42</v>
      </c>
      <c r="E106" s="122">
        <f>D106/'Futterkurve Sauen'!$E$7</f>
        <v>3.5</v>
      </c>
      <c r="F106" s="129">
        <f>IF($F$86&gt;$F$109,$F$86,IF('Futterkurve Sauen'!G$6&gt;14,43,43+(14-'Futterkurve Sauen'!$G$6)*0.3))</f>
        <v>43</v>
      </c>
      <c r="G106" s="122">
        <f>F106/'Futterkurve Sauen'!$E$7</f>
        <v>3.5833333333333335</v>
      </c>
      <c r="H106" s="129">
        <f>IF($H$86&gt;$H$109,$H$86,IF('Futterkurve Sauen'!G$6&gt;14,39,39+(14-'Futterkurve Sauen'!$G$6)*0.3))</f>
        <v>40</v>
      </c>
      <c r="I106" s="122">
        <f>H106/'Futterkurve Sauen'!$E$7</f>
        <v>3.3333333333333335</v>
      </c>
    </row>
    <row r="107" spans="1:9" s="99" customFormat="1">
      <c r="A107" s="109">
        <v>106</v>
      </c>
      <c r="B107" s="129">
        <f>IF($B$86&gt;$B$109,$B$86,IF('Futterkurve Sauen'!G$6&gt;14,39,39+(14-'Futterkurve Sauen'!$G$6)*0.3))</f>
        <v>39</v>
      </c>
      <c r="C107" s="122">
        <f>B107/'Futterkurve Sauen'!$E$7</f>
        <v>3.25</v>
      </c>
      <c r="D107" s="1119">
        <f>IF($D$86&gt;$D$109,$D$86,IF('Futterkurve Sauen'!G$6&gt;14,42,42+(14-'Futterkurve Sauen'!$G$6)*0.3))</f>
        <v>42</v>
      </c>
      <c r="E107" s="122">
        <f>D107/'Futterkurve Sauen'!$E$7</f>
        <v>3.5</v>
      </c>
      <c r="F107" s="129">
        <f>IF($F$86&gt;$F$109,$F$86,IF('Futterkurve Sauen'!G$6&gt;14,43,43+(14-'Futterkurve Sauen'!$G$6)*0.3))</f>
        <v>43</v>
      </c>
      <c r="G107" s="122">
        <f>F107/'Futterkurve Sauen'!$E$7</f>
        <v>3.5833333333333335</v>
      </c>
      <c r="H107" s="129">
        <f>IF($H$86&gt;$H$109,$H$86,IF('Futterkurve Sauen'!G$6&gt;14,39,39+(14-'Futterkurve Sauen'!$G$6)*0.3))</f>
        <v>40</v>
      </c>
      <c r="I107" s="122">
        <f>H107/'Futterkurve Sauen'!$E$7</f>
        <v>3.3333333333333335</v>
      </c>
    </row>
    <row r="108" spans="1:9" s="99" customFormat="1">
      <c r="A108" s="188">
        <v>107</v>
      </c>
      <c r="B108" s="186">
        <f>IF($B$86&gt;$B$109,$B$86,IF('Futterkurve Sauen'!G$6&gt;14,39,39+(14-'Futterkurve Sauen'!$G$6)*0.3))</f>
        <v>39</v>
      </c>
      <c r="C108" s="187">
        <f>B108/'Futterkurve Sauen'!$E$7</f>
        <v>3.25</v>
      </c>
      <c r="D108" s="1120">
        <f>IF($D$86&gt;$D$109,$D$86,IF('Futterkurve Sauen'!G$6&gt;14,42,42+(14-'Futterkurve Sauen'!$G$6)*0.3))</f>
        <v>42</v>
      </c>
      <c r="E108" s="187">
        <f>D108/'Futterkurve Sauen'!$E$7</f>
        <v>3.5</v>
      </c>
      <c r="F108" s="186">
        <f>IF($F$86&gt;$F$109,$F$86,IF('Futterkurve Sauen'!G$6&gt;14,43,43+(14-'Futterkurve Sauen'!$G$6)*0.3))</f>
        <v>43</v>
      </c>
      <c r="G108" s="187">
        <f>F108/'Futterkurve Sauen'!$E$7</f>
        <v>3.5833333333333335</v>
      </c>
      <c r="H108" s="186">
        <f>IF($H$86&gt;$H$109,$H$86,IF('Futterkurve Sauen'!G$6&gt;14,39,39+(14-'Futterkurve Sauen'!$G$6)*0.3))</f>
        <v>40</v>
      </c>
      <c r="I108" s="187">
        <f>H108/'Futterkurve Sauen'!$E$7</f>
        <v>3.3333333333333335</v>
      </c>
    </row>
    <row r="109" spans="1:9" s="115" customFormat="1">
      <c r="A109" s="189">
        <v>108</v>
      </c>
      <c r="B109" s="190">
        <f>IF('Futterkurve Sauen'!$C$6&gt;19,39,39+(19-'Futterkurve Sauen'!$C$6)*0.6)</f>
        <v>39</v>
      </c>
      <c r="C109" s="191">
        <f>B109/'Futterkurve Sauen'!$E$7</f>
        <v>3.25</v>
      </c>
      <c r="D109" s="224">
        <f>IF('Futterkurve Sauen'!$C$6&gt;19,42,42+(19-'Futterkurve Sauen'!$C$6)*0.6)</f>
        <v>42</v>
      </c>
      <c r="E109" s="191">
        <f>D109/'Futterkurve Sauen'!$E$7</f>
        <v>3.5</v>
      </c>
      <c r="F109" s="190">
        <f>IF('Futterkurve Sauen'!$C$6&gt;19,43,43+(19-'Futterkurve Sauen'!$C$6)*0.6)</f>
        <v>43</v>
      </c>
      <c r="G109" s="191">
        <f>F109/'Futterkurve Sauen'!$E$7</f>
        <v>3.5833333333333335</v>
      </c>
      <c r="H109" s="226">
        <f>IF('Futterkurve Sauen'!$C$6&gt;19,39,39+(19-'Futterkurve Sauen'!$C$6)*0.6)</f>
        <v>39</v>
      </c>
      <c r="I109" s="191">
        <f>H109/'Futterkurve Sauen'!$E$7</f>
        <v>3.25</v>
      </c>
    </row>
    <row r="110" spans="1:9" s="99" customFormat="1">
      <c r="A110" s="192">
        <v>109</v>
      </c>
      <c r="B110" s="228">
        <f>IF('Futterkurve Sauen'!$C$6&gt;19,39,39+(19-'Futterkurve Sauen'!$C$6)*0.6)</f>
        <v>39</v>
      </c>
      <c r="C110" s="193">
        <f>B110/'Futterkurve Sauen'!$E$7</f>
        <v>3.25</v>
      </c>
      <c r="D110" s="216">
        <f>IF('Futterkurve Sauen'!$C$6&gt;19,42,42+(19-'Futterkurve Sauen'!$C$6)*0.6)</f>
        <v>42</v>
      </c>
      <c r="E110" s="193">
        <f>D110/'Futterkurve Sauen'!$E$7</f>
        <v>3.5</v>
      </c>
      <c r="F110" s="228">
        <f>IF('Futterkurve Sauen'!$C$6&gt;19,43,43+(19-'Futterkurve Sauen'!$C$6)*0.6)</f>
        <v>43</v>
      </c>
      <c r="G110" s="193">
        <f>F110/'Futterkurve Sauen'!$E$7</f>
        <v>3.5833333333333335</v>
      </c>
      <c r="H110" s="224">
        <f>IF('Futterkurve Sauen'!$C$6&gt;19,39,39+(19-'Futterkurve Sauen'!$C$6)*0.6)</f>
        <v>39</v>
      </c>
      <c r="I110" s="227">
        <f>H110/'Futterkurve Sauen'!$E$7</f>
        <v>3.25</v>
      </c>
    </row>
    <row r="111" spans="1:9" s="99" customFormat="1">
      <c r="A111" s="123">
        <v>110</v>
      </c>
      <c r="B111" s="107">
        <f>IF('Futterkurve Sauen'!$C$6&gt;19,36,36+(19-'Futterkurve Sauen'!$C$6)*0.6)</f>
        <v>36</v>
      </c>
      <c r="C111" s="108">
        <f>B111/'Futterkurve Sauen'!$E$7</f>
        <v>3</v>
      </c>
      <c r="D111" s="107">
        <f>IF('Futterkurve Sauen'!$C$6&gt;19,39,39+(19-'Futterkurve Sauen'!$C$6)*0.6)</f>
        <v>39</v>
      </c>
      <c r="E111" s="108">
        <f>D111/'Futterkurve Sauen'!$E$7</f>
        <v>3.25</v>
      </c>
      <c r="F111" s="107">
        <f>IF('Futterkurve Sauen'!$C$6&gt;19,40,40+(19-'Futterkurve Sauen'!$C$6)*0.6)</f>
        <v>40</v>
      </c>
      <c r="G111" s="108">
        <f>F111/'Futterkurve Sauen'!$E$7</f>
        <v>3.3333333333333335</v>
      </c>
      <c r="H111" s="216">
        <f>IF('Futterkurve Sauen'!$C$6&gt;19,39,39+(19-'Futterkurve Sauen'!$C$6)*0.6)</f>
        <v>39</v>
      </c>
      <c r="I111" s="194">
        <f>H111/'Futterkurve Sauen'!$E$7</f>
        <v>3.25</v>
      </c>
    </row>
    <row r="112" spans="1:9" s="99" customFormat="1">
      <c r="A112" s="106">
        <v>111</v>
      </c>
      <c r="B112" s="107">
        <f>IF('Futterkurve Sauen'!$C$6&gt;19,33,33+(19-'Futterkurve Sauen'!$C$6)*0.6)</f>
        <v>33</v>
      </c>
      <c r="C112" s="108">
        <f>B112/'Futterkurve Sauen'!$E$7</f>
        <v>2.75</v>
      </c>
      <c r="D112" s="107">
        <f>IF('Futterkurve Sauen'!$C$6&gt;19,36,36+(19-'Futterkurve Sauen'!$C$6)*0.6)</f>
        <v>36</v>
      </c>
      <c r="E112" s="108">
        <f>D112/'Futterkurve Sauen'!$E$7</f>
        <v>3</v>
      </c>
      <c r="F112" s="107">
        <f>IF('Futterkurve Sauen'!$C$6&gt;19,37,37+(19-'Futterkurve Sauen'!$C$6)*0.6)</f>
        <v>37</v>
      </c>
      <c r="G112" s="108">
        <f>F112/'Futterkurve Sauen'!$E$7</f>
        <v>3.0833333333333335</v>
      </c>
      <c r="H112" s="107">
        <f>IF('Futterkurve Sauen'!$C$6&gt;19,36,36+(19-'Futterkurve Sauen'!$C$6)*0.6)</f>
        <v>36</v>
      </c>
      <c r="I112" s="108">
        <f>H112/'Futterkurve Sauen'!$E$7</f>
        <v>3</v>
      </c>
    </row>
    <row r="113" spans="1:9" s="99" customFormat="1">
      <c r="A113" s="106">
        <v>112</v>
      </c>
      <c r="B113" s="107">
        <f>IF('Futterkurve Sauen'!$C$6&gt;19,31,31+(19-'Futterkurve Sauen'!$C$6)*0.6)</f>
        <v>31</v>
      </c>
      <c r="C113" s="108">
        <f>B113/'Futterkurve Sauen'!$E$7</f>
        <v>2.5833333333333335</v>
      </c>
      <c r="D113" s="107">
        <f>IF('Futterkurve Sauen'!$C$6&gt;19,33,33+(19-'Futterkurve Sauen'!$C$6)*0.6)</f>
        <v>33</v>
      </c>
      <c r="E113" s="108">
        <f>D113/'Futterkurve Sauen'!$E$7</f>
        <v>2.75</v>
      </c>
      <c r="F113" s="107">
        <f>IF('Futterkurve Sauen'!$C$6&gt;19,34,34+(19-'Futterkurve Sauen'!$C$6)*0.6)</f>
        <v>34</v>
      </c>
      <c r="G113" s="108">
        <f>F113/'Futterkurve Sauen'!$E$7</f>
        <v>2.8333333333333335</v>
      </c>
      <c r="H113" s="107">
        <f>IF('Futterkurve Sauen'!$C$6&gt;19,33,33+(19-'Futterkurve Sauen'!$C$6)*0.6)</f>
        <v>33</v>
      </c>
      <c r="I113" s="108">
        <f>H113/'Futterkurve Sauen'!$E$7</f>
        <v>2.75</v>
      </c>
    </row>
    <row r="114" spans="1:9" s="99" customFormat="1">
      <c r="A114" s="106">
        <v>113</v>
      </c>
      <c r="B114" s="107">
        <f>IF('Futterkurve Sauen'!$C$6&gt;19,29,29+(19-'Futterkurve Sauen'!$C$6)*0.6)</f>
        <v>29</v>
      </c>
      <c r="C114" s="108">
        <f>B114/'Futterkurve Sauen'!$E$7</f>
        <v>2.4166666666666665</v>
      </c>
      <c r="D114" s="107">
        <f>IF('Futterkurve Sauen'!$C$6&gt;19,30,30+(19-'Futterkurve Sauen'!$C$6)*0.6)</f>
        <v>30</v>
      </c>
      <c r="E114" s="108">
        <f>D114/'Futterkurve Sauen'!$E$7</f>
        <v>2.5</v>
      </c>
      <c r="F114" s="107">
        <f>IF('Futterkurve Sauen'!$C$6&gt;19,30,30+(19-'Futterkurve Sauen'!$C$6)*0.6)</f>
        <v>30</v>
      </c>
      <c r="G114" s="108">
        <f>F114/'Futterkurve Sauen'!$E$7</f>
        <v>2.5</v>
      </c>
      <c r="H114" s="107">
        <f>IF('Futterkurve Sauen'!$C$6&gt;19,30,30+(19-'Futterkurve Sauen'!$C$6)*0.6)</f>
        <v>30</v>
      </c>
      <c r="I114" s="108">
        <f>H114/'Futterkurve Sauen'!$E$7</f>
        <v>2.5</v>
      </c>
    </row>
    <row r="115" spans="1:9" s="115" customFormat="1">
      <c r="A115" s="121">
        <v>114</v>
      </c>
      <c r="B115" s="119">
        <f>IF('Futterkurve Sauen'!$C$6&gt;19,26,26+(19-'Futterkurve Sauen'!$C$6)*0.6)</f>
        <v>26</v>
      </c>
      <c r="C115" s="120">
        <f>B115/'Futterkurve Sauen'!$E$7</f>
        <v>2.1666666666666665</v>
      </c>
      <c r="D115" s="119">
        <f>IF('Futterkurve Sauen'!$C$6&gt;19,26,26+(19-'Futterkurve Sauen'!$C$6)*0.6)</f>
        <v>26</v>
      </c>
      <c r="E115" s="120">
        <f>D115/'Futterkurve Sauen'!$E$7</f>
        <v>2.1666666666666665</v>
      </c>
      <c r="F115" s="119">
        <f>IF('Futterkurve Sauen'!$C$6&gt;19,26,26+(19-'Futterkurve Sauen'!$C$6)*0.6)</f>
        <v>26</v>
      </c>
      <c r="G115" s="120">
        <f>F115/'Futterkurve Sauen'!$E$7</f>
        <v>2.1666666666666665</v>
      </c>
      <c r="H115" s="119">
        <f>IF('Futterkurve Sauen'!$C$6&gt;19,26,26+(19-'Futterkurve Sauen'!$C$6)*0.6)</f>
        <v>26</v>
      </c>
      <c r="I115" s="120">
        <f>H115/'Futterkurve Sauen'!$E$7</f>
        <v>2.1666666666666665</v>
      </c>
    </row>
    <row r="116" spans="1:9" s="115" customFormat="1">
      <c r="A116" s="169">
        <v>115</v>
      </c>
      <c r="B116" s="198">
        <f>IF('Futterkurve Sauen'!$C$6&gt;19,26,26+(19-'Futterkurve Sauen'!$C$6)*0.6)</f>
        <v>26</v>
      </c>
      <c r="C116" s="170">
        <f>B116/'Futterkurve Sauen'!$G$7</f>
        <v>2</v>
      </c>
      <c r="D116" s="198">
        <f>IF('Futterkurve Sauen'!$C$6&gt;19,26,26+(19-'Futterkurve Sauen'!$C$6)*0.6)</f>
        <v>26</v>
      </c>
      <c r="E116" s="170">
        <f>D116/'Futterkurve Sauen'!$G$7</f>
        <v>2</v>
      </c>
      <c r="F116" s="198">
        <f>IF('Futterkurve Sauen'!$C$6&gt;19,26,26+(19-'Futterkurve Sauen'!$C$6)*0.6)</f>
        <v>26</v>
      </c>
      <c r="G116" s="170">
        <f>F116/'Futterkurve Sauen'!$G$7</f>
        <v>2</v>
      </c>
      <c r="H116" s="198">
        <f>IF('Futterkurve Sauen'!$C$6&gt;19,26,26+(19-'Futterkurve Sauen'!$C$6)*0.6)</f>
        <v>26</v>
      </c>
      <c r="I116" s="170">
        <f>H116/'Futterkurve Sauen'!$G$7</f>
        <v>2</v>
      </c>
    </row>
    <row r="117" spans="1:9" s="99" customFormat="1">
      <c r="A117" s="103">
        <v>116</v>
      </c>
      <c r="B117" s="104">
        <f>IF(C117*'Futterkurve Sauen'!$G$7&gt;$B$143,$B$143,C117*'Futterkurve Sauen'!$G$7)</f>
        <v>31.2</v>
      </c>
      <c r="C117" s="105">
        <f>IF(C116+0.4&gt;$C$143,$C$143,C116+0.4)</f>
        <v>2.4</v>
      </c>
      <c r="D117" s="104">
        <f>IF(E117*'Futterkurve Sauen'!$G$7&gt;$D$143,$D$143,E117*'Futterkurve Sauen'!$G$7)</f>
        <v>32.5</v>
      </c>
      <c r="E117" s="105">
        <f>IF(E116+0.5&gt;E$143,E$143,E116+0.5)</f>
        <v>2.5</v>
      </c>
      <c r="F117" s="104">
        <f>IF(G117*'Futterkurve Sauen'!$G$7&gt;$F$143,$F$143,G117*'Futterkurve Sauen'!$G$7)</f>
        <v>32.5</v>
      </c>
      <c r="G117" s="105">
        <f>IF(G116+0.5&gt;G$143,G$143,G116+0.5)</f>
        <v>2.5</v>
      </c>
      <c r="H117" s="104">
        <f>IF(I117*'Futterkurve Sauen'!$G$7&gt;$H$143,$H$143,I117*'Futterkurve Sauen'!$G$7)</f>
        <v>32.5</v>
      </c>
      <c r="I117" s="105">
        <f>IF(I116+0.5&gt;I$143,I$143,I116+0.5)</f>
        <v>2.5</v>
      </c>
    </row>
    <row r="118" spans="1:9" s="99" customFormat="1">
      <c r="A118" s="103">
        <v>117</v>
      </c>
      <c r="B118" s="104">
        <f>IF(C118*'Futterkurve Sauen'!$G$7&gt;$B$143,$B$143,C118*'Futterkurve Sauen'!$G$7)</f>
        <v>36.4</v>
      </c>
      <c r="C118" s="105">
        <f>IF(C117+0.4&gt;$C$143,$C$143,C117+0.4)</f>
        <v>2.8</v>
      </c>
      <c r="D118" s="104">
        <f>IF(E118*'Futterkurve Sauen'!$G$7&gt;$D$143,$D$143,E118*'Futterkurve Sauen'!$G$7)</f>
        <v>39</v>
      </c>
      <c r="E118" s="105">
        <f>IF(E117+0.5&gt;E$143,E$143,E117+0.5)</f>
        <v>3</v>
      </c>
      <c r="F118" s="104">
        <f>IF(G118*'Futterkurve Sauen'!$G$7&gt;$F$143,$F$143,G118*'Futterkurve Sauen'!$G$7)</f>
        <v>39</v>
      </c>
      <c r="G118" s="105">
        <f>IF(G117+0.5&gt;G$143,G$143,G117+0.5)</f>
        <v>3</v>
      </c>
      <c r="H118" s="104">
        <f>IF(I118*'Futterkurve Sauen'!$G$7&gt;$H$143,$H$143,I118*'Futterkurve Sauen'!$G$7)</f>
        <v>39</v>
      </c>
      <c r="I118" s="105">
        <f>IF(I117+0.5&gt;I$143,I$143,I117+0.5)</f>
        <v>3</v>
      </c>
    </row>
    <row r="119" spans="1:9" s="99" customFormat="1">
      <c r="A119" s="103">
        <v>118</v>
      </c>
      <c r="B119" s="104">
        <f>IF(C119*'Futterkurve Sauen'!$G$7&gt;$B$143,$B$143,C119*'Futterkurve Sauen'!$G$7)</f>
        <v>41.599999999999994</v>
      </c>
      <c r="C119" s="105">
        <f>IF(C118+0.4&gt;$C$143,$C$143,C118+0.4)</f>
        <v>3.1999999999999997</v>
      </c>
      <c r="D119" s="104">
        <f>IF(E119*'Futterkurve Sauen'!$G$7&gt;$D$143,$D$143,E119*'Futterkurve Sauen'!$G$7)</f>
        <v>45.5</v>
      </c>
      <c r="E119" s="105">
        <f>IF(E118+0.5&gt;E$143,E$143,E118+0.5)</f>
        <v>3.5</v>
      </c>
      <c r="F119" s="104">
        <f>IF(G119*'Futterkurve Sauen'!$G$7&gt;$F$143,$F$143,G119*'Futterkurve Sauen'!$G$7)</f>
        <v>45.5</v>
      </c>
      <c r="G119" s="105">
        <f>IF(G118+0.5&gt;G$143,G$143,G118+0.5)</f>
        <v>3.5</v>
      </c>
      <c r="H119" s="104">
        <f>IF(I119*'Futterkurve Sauen'!$G$7&gt;$H$143,$H$143,I119*'Futterkurve Sauen'!$G$7)</f>
        <v>45.5</v>
      </c>
      <c r="I119" s="105">
        <f>IF(I118+0.5&gt;I$143,I$143,I118+0.5)</f>
        <v>3.5</v>
      </c>
    </row>
    <row r="120" spans="1:9" s="99" customFormat="1">
      <c r="A120" s="103">
        <v>119</v>
      </c>
      <c r="B120" s="104">
        <f>IF(C120*'Futterkurve Sauen'!$G$7&gt;$B$143,$B$143,C120*'Futterkurve Sauen'!$G$7)</f>
        <v>41.599999999999994</v>
      </c>
      <c r="C120" s="105">
        <f>IF(C119&gt;$C$143,$C$143,C119)</f>
        <v>3.1999999999999997</v>
      </c>
      <c r="D120" s="104">
        <f>IF(E120*'Futterkurve Sauen'!$G$7&gt;$D$143,$D$143,E120*'Futterkurve Sauen'!$G$7)</f>
        <v>45.5</v>
      </c>
      <c r="E120" s="105">
        <f>IF(E119&gt;E$143,E$143,E119)</f>
        <v>3.5</v>
      </c>
      <c r="F120" s="104">
        <f>IF(G120*'Futterkurve Sauen'!$G$7&gt;$F$143,$F$143,G120*'Futterkurve Sauen'!$G$7)</f>
        <v>45.5</v>
      </c>
      <c r="G120" s="105">
        <f>IF(G119&gt;G$143,G$143,G119)</f>
        <v>3.5</v>
      </c>
      <c r="H120" s="104">
        <f>IF(I120*'Futterkurve Sauen'!$G$7&gt;$H$143,$H$143,I120*'Futterkurve Sauen'!$G$7)</f>
        <v>45.5</v>
      </c>
      <c r="I120" s="105">
        <f>IF(I119&gt;I$143,I$143,I119)</f>
        <v>3.5</v>
      </c>
    </row>
    <row r="121" spans="1:9" s="99" customFormat="1">
      <c r="A121" s="103">
        <v>120</v>
      </c>
      <c r="B121" s="104">
        <f>IF(C121*'Futterkurve Sauen'!$G$7&gt;$B$143,$B$143,C121*'Futterkurve Sauen'!$G$7)</f>
        <v>46.8</v>
      </c>
      <c r="C121" s="105">
        <f>IF(C120+0.4&gt;$C$143,$C$143,C120+0.4)</f>
        <v>3.5999999999999996</v>
      </c>
      <c r="D121" s="104">
        <f>IF(E121*'Futterkurve Sauen'!$G$7&gt;$D$143,$D$143,E121*'Futterkurve Sauen'!$G$7)</f>
        <v>52</v>
      </c>
      <c r="E121" s="105">
        <f>IF(E120+0.5&gt;E$143,E$143,E120+0.5)</f>
        <v>4</v>
      </c>
      <c r="F121" s="104">
        <f>IF(G121*'Futterkurve Sauen'!$G$7&gt;$F$143,$F$143,G121*'Futterkurve Sauen'!$G$7)</f>
        <v>52</v>
      </c>
      <c r="G121" s="105">
        <f>IF(G120+0.5&gt;G$143,G$143,G120+0.5)</f>
        <v>4</v>
      </c>
      <c r="H121" s="104">
        <f>IF(I121*'Futterkurve Sauen'!$G$7&gt;$H$143,$H$143,I121*'Futterkurve Sauen'!$G$7)</f>
        <v>52</v>
      </c>
      <c r="I121" s="105">
        <f>IF(I120+0.5&gt;I$143,I$143,I120+0.5)</f>
        <v>4</v>
      </c>
    </row>
    <row r="122" spans="1:9" s="99" customFormat="1">
      <c r="A122" s="103">
        <v>121</v>
      </c>
      <c r="B122" s="104">
        <f>IF(C122*'Futterkurve Sauen'!$G$7&gt;$B$143,$B$143,C122*'Futterkurve Sauen'!$G$7)</f>
        <v>51.999999999999993</v>
      </c>
      <c r="C122" s="105">
        <f>IF(C121+0.4&gt;$C$143,$C$143,C121+0.4)</f>
        <v>3.9999999999999996</v>
      </c>
      <c r="D122" s="104">
        <f>IF(E122*'Futterkurve Sauen'!$G$7&gt;$D$143,$D$143,E122*'Futterkurve Sauen'!$G$7)</f>
        <v>58.5</v>
      </c>
      <c r="E122" s="105">
        <f>IF(E121+0.5&gt;E$143,E$143,E121+0.5)</f>
        <v>4.5</v>
      </c>
      <c r="F122" s="104">
        <f>IF(G122*'Futterkurve Sauen'!$G$7&gt;$F$143,$F$143,G122*'Futterkurve Sauen'!$G$7)</f>
        <v>58.5</v>
      </c>
      <c r="G122" s="105">
        <f>IF(G121+0.5&gt;G$143,G$143,G121+0.5)</f>
        <v>4.5</v>
      </c>
      <c r="H122" s="104">
        <f>IF(I122*'Futterkurve Sauen'!$G$7&gt;$H$143,$H$143,I122*'Futterkurve Sauen'!$G$7)</f>
        <v>58.5</v>
      </c>
      <c r="I122" s="105">
        <f>IF(I121+0.5&gt;I$143,I$143,I121+0.5)</f>
        <v>4.5</v>
      </c>
    </row>
    <row r="123" spans="1:9" s="99" customFormat="1">
      <c r="A123" s="103">
        <v>122</v>
      </c>
      <c r="B123" s="104">
        <f>IF(C123*'Futterkurve Sauen'!$G$7&gt;$B$143,$B$143,C123*'Futterkurve Sauen'!$G$7)</f>
        <v>57.199999999999996</v>
      </c>
      <c r="C123" s="105">
        <f>IF(C122+0.4&gt;$C$143,$C$143,C122+0.4)</f>
        <v>4.3999999999999995</v>
      </c>
      <c r="D123" s="104">
        <f>IF(E123*'Futterkurve Sauen'!$G$7&gt;$D$143,$D$143,E123*'Futterkurve Sauen'!$G$7)</f>
        <v>65</v>
      </c>
      <c r="E123" s="105">
        <f>IF(E122+0.5&gt;E$143,E$143,E122+0.5)</f>
        <v>5</v>
      </c>
      <c r="F123" s="104">
        <f>IF(G123*'Futterkurve Sauen'!$G$7&gt;$F$143,$F$143,G123*'Futterkurve Sauen'!$G$7)</f>
        <v>65</v>
      </c>
      <c r="G123" s="105">
        <f>IF(G122+0.5&gt;G$143,G$143,G122+0.5)</f>
        <v>5</v>
      </c>
      <c r="H123" s="104">
        <f>IF(I123*'Futterkurve Sauen'!$G$7&gt;$H$143,$H$143,I123*'Futterkurve Sauen'!$G$7)</f>
        <v>65</v>
      </c>
      <c r="I123" s="105">
        <f>IF(I122+0.5&gt;I$143,I$143,I122+0.5)</f>
        <v>5</v>
      </c>
    </row>
    <row r="124" spans="1:9" s="99" customFormat="1">
      <c r="A124" s="103">
        <v>123</v>
      </c>
      <c r="B124" s="104">
        <f>IF(C124*'Futterkurve Sauen'!$G$7&gt;$B$143,$B$143,C124*'Futterkurve Sauen'!$G$7)</f>
        <v>57.199999999999996</v>
      </c>
      <c r="C124" s="105">
        <f>IF(C123&gt;$C$143,$C$143,C123)</f>
        <v>4.3999999999999995</v>
      </c>
      <c r="D124" s="104">
        <f>IF(E124*'Futterkurve Sauen'!$G$7&gt;$D$143,$D$143,E124*'Futterkurve Sauen'!$G$7)</f>
        <v>65</v>
      </c>
      <c r="E124" s="105">
        <f>IF(E123&gt;E$143,E$143,E123)</f>
        <v>5</v>
      </c>
      <c r="F124" s="104">
        <f>IF(G124*'Futterkurve Sauen'!$G$7&gt;$F$143,$F$143,G124*'Futterkurve Sauen'!$G$7)</f>
        <v>65</v>
      </c>
      <c r="G124" s="105">
        <f>IF(G123&gt;G$143,G$143,G123)</f>
        <v>5</v>
      </c>
      <c r="H124" s="104">
        <f>IF(I124*'Futterkurve Sauen'!$G$7&gt;$H$143,$H$143,I124*'Futterkurve Sauen'!$G$7)</f>
        <v>65</v>
      </c>
      <c r="I124" s="105">
        <f>IF(I123&gt;I$143,I$143,I123)</f>
        <v>5</v>
      </c>
    </row>
    <row r="125" spans="1:9" s="130" customFormat="1">
      <c r="A125" s="195">
        <v>124</v>
      </c>
      <c r="B125" s="196">
        <f>IF(C125*'Futterkurve Sauen'!$G$7&gt;$B$143,$B$143,C125*'Futterkurve Sauen'!$G$7)</f>
        <v>62.4</v>
      </c>
      <c r="C125" s="197">
        <f>IF(C124+0.4&gt;$C$143,$C$143,C124+0.4)</f>
        <v>4.8</v>
      </c>
      <c r="D125" s="196">
        <f>IF(E125*'Futterkurve Sauen'!$G$7&gt;$D$143,$D$143,E125*'Futterkurve Sauen'!$G$7)</f>
        <v>71.5</v>
      </c>
      <c r="E125" s="105">
        <f>IF(E124+0.5&gt;E$143,E$143,E124+0.5)</f>
        <v>5.5</v>
      </c>
      <c r="F125" s="196">
        <f>IF(G125*'Futterkurve Sauen'!$G$7&gt;$F$143,$F$143,G125*'Futterkurve Sauen'!$G$7)</f>
        <v>71.5</v>
      </c>
      <c r="G125" s="105">
        <f>IF(G124+0.5&gt;G$143,G$143,G124+0.5)</f>
        <v>5.5</v>
      </c>
      <c r="H125" s="196">
        <f>IF(I125*'Futterkurve Sauen'!$G$7&gt;$H$143,$H$143,I125*'Futterkurve Sauen'!$G$7)</f>
        <v>71.5</v>
      </c>
      <c r="I125" s="105">
        <f>IF(I124+0.5&gt;I$143,I$143,I124+0.5)</f>
        <v>5.5</v>
      </c>
    </row>
    <row r="126" spans="1:9" s="99" customFormat="1">
      <c r="A126" s="103">
        <v>125</v>
      </c>
      <c r="B126" s="104">
        <f>IF(C126*'Futterkurve Sauen'!$G$7&gt;$B$143,$B$143,C126*'Futterkurve Sauen'!$G$7)</f>
        <v>67.600000000000009</v>
      </c>
      <c r="C126" s="105">
        <f>IF(C125+0.4&gt;$C$143,$C$143,C125+0.4)</f>
        <v>5.2</v>
      </c>
      <c r="D126" s="104">
        <f>IF(E126*'Futterkurve Sauen'!$G$7&gt;$D$143,$D$143,E126*'Futterkurve Sauen'!$G$7)</f>
        <v>78</v>
      </c>
      <c r="E126" s="105">
        <f>IF(E125+0.5&gt;E$143,E$143,E125+0.5)</f>
        <v>6</v>
      </c>
      <c r="F126" s="104">
        <f>IF(G126*'Futterkurve Sauen'!$G$7&gt;$F$143,$F$143,G126*'Futterkurve Sauen'!$G$7)</f>
        <v>78</v>
      </c>
      <c r="G126" s="105">
        <f>IF(G125+0.5&gt;G$143,G$143,G125+0.5)</f>
        <v>6</v>
      </c>
      <c r="H126" s="104">
        <f>IF(I126*'Futterkurve Sauen'!$G$7&gt;$H$143,$H$143,I126*'Futterkurve Sauen'!$G$7)</f>
        <v>78</v>
      </c>
      <c r="I126" s="105">
        <f>IF(I125+0.5&gt;I$143,I$143,I125+0.5)</f>
        <v>6</v>
      </c>
    </row>
    <row r="127" spans="1:9" s="99" customFormat="1">
      <c r="A127" s="103">
        <v>126</v>
      </c>
      <c r="B127" s="104">
        <f>IF(C127*'Futterkurve Sauen'!$G$7&gt;$B$143,$B$143,C127*'Futterkurve Sauen'!$G$7)</f>
        <v>72.800000000000011</v>
      </c>
      <c r="C127" s="105">
        <f>IF(C126+0.4&gt;$C$143,$C$143,C126+0.4)</f>
        <v>5.6000000000000005</v>
      </c>
      <c r="D127" s="104">
        <f>IF(E127*'Futterkurve Sauen'!$G$7&gt;$D$143,$D$143,E127*'Futterkurve Sauen'!$G$7)</f>
        <v>82.471480868778784</v>
      </c>
      <c r="E127" s="105">
        <f>IF(E126+0.5&gt;E$143,E$143,E126+0.5)</f>
        <v>6.3439600668291369</v>
      </c>
      <c r="F127" s="104">
        <f>IF(G127*'Futterkurve Sauen'!$G$7&gt;$F$143,$F$143,G127*'Futterkurve Sauen'!$G$7)</f>
        <v>84.5</v>
      </c>
      <c r="G127" s="105">
        <f>IF(G126+0.5&gt;G$143,G$143,G126+0.5)</f>
        <v>6.5</v>
      </c>
      <c r="H127" s="104">
        <f>IF(I127*'Futterkurve Sauen'!$G$7&gt;$H$143,$H$143,I127*'Futterkurve Sauen'!$G$7)</f>
        <v>84.5</v>
      </c>
      <c r="I127" s="105">
        <f>IF(I126+0.5&gt;I$143,I$143,I126+0.5)</f>
        <v>6.5</v>
      </c>
    </row>
    <row r="128" spans="1:9" s="99" customFormat="1">
      <c r="A128" s="103">
        <v>127</v>
      </c>
      <c r="B128" s="104">
        <f>IF(C128*'Futterkurve Sauen'!$G$7&gt;$B$143,$B$143,C128*'Futterkurve Sauen'!$G$7)</f>
        <v>72.800000000000011</v>
      </c>
      <c r="C128" s="105">
        <f>IF(C127&gt;$C$143,$C$143,C127)</f>
        <v>5.6000000000000005</v>
      </c>
      <c r="D128" s="104">
        <f>IF(E128*'Futterkurve Sauen'!$G$7&gt;$D$143,$D$143,E128*'Futterkurve Sauen'!$G$7)</f>
        <v>82.471480868778784</v>
      </c>
      <c r="E128" s="105">
        <f>IF(E127&gt;E$143,E$143,E127)</f>
        <v>6.3439600668291369</v>
      </c>
      <c r="F128" s="104">
        <f>IF(G128*'Futterkurve Sauen'!$G$7&gt;$F$143,$F$143,G128*'Futterkurve Sauen'!$G$7)</f>
        <v>84.5</v>
      </c>
      <c r="G128" s="105">
        <f>IF(G127&gt;G$143,G$143,G127)</f>
        <v>6.5</v>
      </c>
      <c r="H128" s="104">
        <f>IF(I128*'Futterkurve Sauen'!$G$7&gt;$H$143,$H$143,I128*'Futterkurve Sauen'!$G$7)</f>
        <v>84.5</v>
      </c>
      <c r="I128" s="105">
        <f>IF(I127&gt;I$143,I$143,I127)</f>
        <v>6.5</v>
      </c>
    </row>
    <row r="129" spans="1:9" s="99" customFormat="1">
      <c r="A129" s="103">
        <v>128</v>
      </c>
      <c r="B129" s="104">
        <f>IF(C129*'Futterkurve Sauen'!$G$7&gt;$B$143,$B$143,C129*'Futterkurve Sauen'!$G$7)</f>
        <v>77.50806669862115</v>
      </c>
      <c r="C129" s="105">
        <f>IF(C128+0.4&gt;$C$143,$C$143,C128+0.4)</f>
        <v>5.9621589768170118</v>
      </c>
      <c r="D129" s="104">
        <f>IF(E129*'Futterkurve Sauen'!$G$7&gt;$D$143,$D$143,E129*'Futterkurve Sauen'!$G$7)</f>
        <v>82.471480868778784</v>
      </c>
      <c r="E129" s="105">
        <f>IF(E128+0.5&gt;E$143,E$143,E128+0.5)</f>
        <v>6.3439600668291369</v>
      </c>
      <c r="F129" s="104">
        <f>IF(G129*'Futterkurve Sauen'!$G$7&gt;$F$143,$F$143,G129*'Futterkurve Sauen'!$G$7)</f>
        <v>85.961690084968936</v>
      </c>
      <c r="G129" s="105">
        <f>IF(G128+0.5&gt;G$143,G$143,G128+0.5)</f>
        <v>6.6124376988437641</v>
      </c>
      <c r="H129" s="104">
        <f>IF(I129*'Futterkurve Sauen'!$G$7&gt;$H$143,$H$143,I129*'Futterkurve Sauen'!$G$7)</f>
        <v>88.477459651087315</v>
      </c>
      <c r="I129" s="105">
        <f>IF(I128+0.5&gt;I$143,I$143,I128+0.5)</f>
        <v>6.8059584346990238</v>
      </c>
    </row>
    <row r="130" spans="1:9" s="99" customFormat="1">
      <c r="A130" s="195">
        <v>129</v>
      </c>
      <c r="B130" s="196">
        <f>IF(C130*'Futterkurve Sauen'!$G$7&gt;$B$143,$B$143,C130*'Futterkurve Sauen'!$G$7)</f>
        <v>77.50806669862115</v>
      </c>
      <c r="C130" s="197">
        <f>IF(C129+0.4&gt;$C$143,$C$143,C129+0.4)</f>
        <v>5.9621589768170118</v>
      </c>
      <c r="D130" s="196">
        <f>IF(E130*'Futterkurve Sauen'!$G$7&gt;$D$143,$D$143,E130*'Futterkurve Sauen'!$G$7)</f>
        <v>82.471480868778784</v>
      </c>
      <c r="E130" s="105">
        <f>IF(E129+0.5&gt;E$143,E$143,E129+0.5)</f>
        <v>6.3439600668291369</v>
      </c>
      <c r="F130" s="196">
        <f>IF(G130*'Futterkurve Sauen'!$G$7&gt;$F$143,$F$143,G130*'Futterkurve Sauen'!$G$7)</f>
        <v>85.961690084968936</v>
      </c>
      <c r="G130" s="105">
        <f>IF(G129+0.5&gt;G$143,G$143,G129+0.5)</f>
        <v>6.6124376988437641</v>
      </c>
      <c r="H130" s="196">
        <f>IF(I130*'Futterkurve Sauen'!$G$7&gt;$H$143,$H$143,I130*'Futterkurve Sauen'!$G$7)</f>
        <v>88.477459651087315</v>
      </c>
      <c r="I130" s="105">
        <f>IF(I129+0.5&gt;I$143,I$143,I129+0.5)</f>
        <v>6.8059584346990238</v>
      </c>
    </row>
    <row r="131" spans="1:9" s="99" customFormat="1">
      <c r="A131" s="195">
        <v>130</v>
      </c>
      <c r="B131" s="196">
        <f>IF(C131*'Futterkurve Sauen'!$G$7&gt;$B$143,$B$143,C131*'Futterkurve Sauen'!$G$7)</f>
        <v>77.50806669862115</v>
      </c>
      <c r="C131" s="197">
        <f>IF(C130+0.4&gt;$C$143,$C$143,C130+0.4)</f>
        <v>5.9621589768170118</v>
      </c>
      <c r="D131" s="203">
        <f>IF(E131*'Futterkurve Sauen'!$G$7&gt;$D$143,$D$143,E131*'Futterkurve Sauen'!$G$7)</f>
        <v>82.471480868778784</v>
      </c>
      <c r="E131" s="105">
        <f>IF(E130+0.5&gt;E$143,E$143,E130+0.5)</f>
        <v>6.3439600668291369</v>
      </c>
      <c r="F131" s="196">
        <f>IF(G131*'Futterkurve Sauen'!$G$7&gt;$F$143,$F$143,G131*'Futterkurve Sauen'!$G$7)</f>
        <v>85.961690084968936</v>
      </c>
      <c r="G131" s="105">
        <f>IF(G130+0.5&gt;G$143,G$143,G130+0.5)</f>
        <v>6.6124376988437641</v>
      </c>
      <c r="H131" s="196">
        <f>IF(I131*'Futterkurve Sauen'!$G$7&gt;$H$143,$H$143,I131*'Futterkurve Sauen'!$G$7)</f>
        <v>88.477459651087315</v>
      </c>
      <c r="I131" s="105">
        <f>IF(I130+0.5&gt;I$143,I$143,I130+0.5)</f>
        <v>6.8059584346990238</v>
      </c>
    </row>
    <row r="132" spans="1:9" s="99" customFormat="1">
      <c r="A132" s="200">
        <v>131</v>
      </c>
      <c r="B132" s="201">
        <f>IF(C132*'Futterkurve Sauen'!$G$7&gt;$B$143,$B$143,C132*'Futterkurve Sauen'!$G$7)</f>
        <v>77.50806669862115</v>
      </c>
      <c r="C132" s="202">
        <f>IF(C131&gt;$C$143,$C$143,C131)</f>
        <v>5.9621589768170118</v>
      </c>
      <c r="D132" s="203">
        <f>IF(E132*'Futterkurve Sauen'!$G$7&gt;$D$143,$D$143,E132*'Futterkurve Sauen'!$G$7)</f>
        <v>82.471480868778784</v>
      </c>
      <c r="E132" s="105">
        <f>IF(E131&gt;E$143,E$143,E131)</f>
        <v>6.3439600668291369</v>
      </c>
      <c r="F132" s="196">
        <f>IF(G132*'Futterkurve Sauen'!$G$7&gt;$F$143,$F$143,G132*'Futterkurve Sauen'!$G$7)</f>
        <v>85.961690084968936</v>
      </c>
      <c r="G132" s="105">
        <f>IF(G131&gt;G$143,G$143,G131)</f>
        <v>6.6124376988437641</v>
      </c>
      <c r="H132" s="196">
        <f>IF(I132*'Futterkurve Sauen'!$G$7&gt;$H$143,$H$143,I132*'Futterkurve Sauen'!$G$7)</f>
        <v>88.477459651087315</v>
      </c>
      <c r="I132" s="105">
        <f>IF(I131&gt;I$143,I$143,I131)</f>
        <v>6.8059584346990238</v>
      </c>
    </row>
    <row r="133" spans="1:9" s="99" customFormat="1">
      <c r="A133" s="211">
        <v>132</v>
      </c>
      <c r="B133" s="101">
        <f>IF('Futterkurve Sauen'!$C$6&gt;19,'Futterkurve Sauen'!$K$6^0.75*0.44+5.8*'Futterkurve Sauen'!$I$6-'Futterkurve Sauen'!K$5,'Futterkurve Sauen'!$K$6^0.75*0.44+5.8*'Futterkurve Sauen'!$I$6-'Futterkurve Sauen'!K$5+(19-'Futterkurve Sauen'!$C$6)*0.6)</f>
        <v>77.50806669862115</v>
      </c>
      <c r="C133" s="217">
        <f>IF(C132&gt;$C$143,$C$143,C132)</f>
        <v>5.9621589768170118</v>
      </c>
      <c r="D133" s="204">
        <f>IF('Futterkurve Sauen'!$C$6&gt;19,('Futterkurve Sauen'!$K$7-40)^0.75*0.44+5.8*'Futterkurve Sauen'!$I$7-'Futterkurve Sauen'!K$8,('Futterkurve Sauen'!$K$7-40)^0.75*0.44+5.8*'Futterkurve Sauen'!$I$7-'Futterkurve Sauen'!K$8+(19-'Futterkurve Sauen'!$C$6)*0.6)</f>
        <v>82.471480868778784</v>
      </c>
      <c r="E133" s="217">
        <f t="shared" ref="E133:E138" si="0">IF(E132+0.5&gt;E$143,E$143,E132+0.5)</f>
        <v>6.3439600668291369</v>
      </c>
      <c r="F133" s="204">
        <f>IF('Futterkurve Sauen'!$C$6&gt;19,'Futterkurve Sauen'!$K$7^0.75*0.44+5.8*'Futterkurve Sauen'!$I$7-'Futterkurve Sauen'!K$8,'Futterkurve Sauen'!$K$7^0.75*0.44+5.8*'Futterkurve Sauen'!$I$7-'Futterkurve Sauen'!K$8+(19-'Futterkurve Sauen'!$C$6)*0.6)</f>
        <v>85.961690084968936</v>
      </c>
      <c r="G133" s="217">
        <f t="shared" ref="G133:G138" si="1">IF(G132+0.5&gt;G$143,G$143,G132+0.5)</f>
        <v>6.6124376988437641</v>
      </c>
      <c r="H133" s="204">
        <f>IF('Futterkurve Sauen'!$C$6&gt;19,('Futterkurve Sauen'!$K$7+30)^0.75*0.44+5.8*'Futterkurve Sauen'!$I$7-'Futterkurve Sauen'!K$8,('Futterkurve Sauen'!$K$7+30)^0.75*0.44+5.8*'Futterkurve Sauen'!$I$7-'Futterkurve Sauen'!K$8+(19-'Futterkurve Sauen'!$C$6)*0.6)</f>
        <v>88.477459651087315</v>
      </c>
      <c r="I133" s="205">
        <f t="shared" ref="I133:I138" si="2">IF(I132+0.5&gt;I$143,I$143,I132+0.5)</f>
        <v>6.8059584346990238</v>
      </c>
    </row>
    <row r="134" spans="1:9" s="99" customFormat="1">
      <c r="A134" s="100">
        <v>133</v>
      </c>
      <c r="B134" s="101">
        <f>IF('Futterkurve Sauen'!$C$6&gt;19,'Futterkurve Sauen'!$K$6^0.75*0.44+5.8*'Futterkurve Sauen'!$I$6-'Futterkurve Sauen'!K$5,'Futterkurve Sauen'!$K$6^0.75*0.44+5.8*'Futterkurve Sauen'!$I$6-'Futterkurve Sauen'!K$5+(19-'Futterkurve Sauen'!$C$6)*0.6)</f>
        <v>77.50806669862115</v>
      </c>
      <c r="C134" s="102">
        <f>IF(C133+0.4&gt;$C$143,$C$143,C133+0.4)</f>
        <v>5.9621589768170118</v>
      </c>
      <c r="D134" s="101">
        <f>IF('Futterkurve Sauen'!$C$6&gt;19,('Futterkurve Sauen'!$K$7-40)^0.75*0.44+5.8*'Futterkurve Sauen'!$I$7-'Futterkurve Sauen'!K$8,('Futterkurve Sauen'!$K$7-40)^0.75*0.44+5.8*'Futterkurve Sauen'!$I$7-'Futterkurve Sauen'!K$8+(19-'Futterkurve Sauen'!$C$6)*0.6)</f>
        <v>82.471480868778784</v>
      </c>
      <c r="E134" s="102">
        <f t="shared" si="0"/>
        <v>6.3439600668291369</v>
      </c>
      <c r="F134" s="101">
        <f>IF('Futterkurve Sauen'!$C$6&gt;19,'Futterkurve Sauen'!$K$7^0.75*0.44+5.8*'Futterkurve Sauen'!$I$7-'Futterkurve Sauen'!K$8,'Futterkurve Sauen'!$K$7^0.75*0.44+5.8*'Futterkurve Sauen'!$I$7-'Futterkurve Sauen'!K$8+(19-'Futterkurve Sauen'!$C$6)*0.6)</f>
        <v>85.961690084968936</v>
      </c>
      <c r="G134" s="102">
        <f t="shared" si="1"/>
        <v>6.6124376988437641</v>
      </c>
      <c r="H134" s="101">
        <f>IF('Futterkurve Sauen'!$C$6&gt;19,('Futterkurve Sauen'!$K$7+30)^0.75*0.44+5.8*'Futterkurve Sauen'!$I$7-'Futterkurve Sauen'!K$8,('Futterkurve Sauen'!$K$7+30)^0.75*0.44+5.8*'Futterkurve Sauen'!$I$7-'Futterkurve Sauen'!K$8+(19-'Futterkurve Sauen'!$C$6)*0.6)</f>
        <v>88.477459651087315</v>
      </c>
      <c r="I134" s="102">
        <f t="shared" si="2"/>
        <v>6.8059584346990238</v>
      </c>
    </row>
    <row r="135" spans="1:9" s="99" customFormat="1">
      <c r="A135" s="100">
        <v>134</v>
      </c>
      <c r="B135" s="101">
        <f>IF('Futterkurve Sauen'!$C$6&gt;19,'Futterkurve Sauen'!$K$6^0.75*0.44+5.8*'Futterkurve Sauen'!$I$6-'Futterkurve Sauen'!K$5,'Futterkurve Sauen'!$K$6^0.75*0.44+5.8*'Futterkurve Sauen'!$I$6-'Futterkurve Sauen'!K$5+(19-'Futterkurve Sauen'!$C$6)*0.6)</f>
        <v>77.50806669862115</v>
      </c>
      <c r="C135" s="102">
        <f>IF(C134+0.4&gt;$C$143,$C$143,C134+0.4)</f>
        <v>5.9621589768170118</v>
      </c>
      <c r="D135" s="101">
        <f>IF('Futterkurve Sauen'!$C$6&gt;19,('Futterkurve Sauen'!$K$7-40)^0.75*0.44+5.8*'Futterkurve Sauen'!$I$7-'Futterkurve Sauen'!K$8,('Futterkurve Sauen'!$K$7-40)^0.75*0.44+5.8*'Futterkurve Sauen'!$I$7-'Futterkurve Sauen'!K$8+(19-'Futterkurve Sauen'!$C$6)*0.6)</f>
        <v>82.471480868778784</v>
      </c>
      <c r="E135" s="102">
        <f t="shared" si="0"/>
        <v>6.3439600668291369</v>
      </c>
      <c r="F135" s="101">
        <f>IF('Futterkurve Sauen'!$C$6&gt;19,'Futterkurve Sauen'!$K$7^0.75*0.44+5.8*'Futterkurve Sauen'!$I$7-'Futterkurve Sauen'!K$8,'Futterkurve Sauen'!$K$7^0.75*0.44+5.8*'Futterkurve Sauen'!$I$7-'Futterkurve Sauen'!K$8+(19-'Futterkurve Sauen'!$C$6)*0.6)</f>
        <v>85.961690084968936</v>
      </c>
      <c r="G135" s="102">
        <f t="shared" si="1"/>
        <v>6.6124376988437641</v>
      </c>
      <c r="H135" s="101">
        <f>IF('Futterkurve Sauen'!$C$6&gt;19,('Futterkurve Sauen'!$K$7+30)^0.75*0.44+5.8*'Futterkurve Sauen'!$I$7-'Futterkurve Sauen'!K$8,('Futterkurve Sauen'!$K$7+30)^0.75*0.44+5.8*'Futterkurve Sauen'!$I$7-'Futterkurve Sauen'!K$8+(19-'Futterkurve Sauen'!$C$6)*0.6)</f>
        <v>88.477459651087315</v>
      </c>
      <c r="I135" s="102">
        <f t="shared" si="2"/>
        <v>6.8059584346990238</v>
      </c>
    </row>
    <row r="136" spans="1:9" s="99" customFormat="1">
      <c r="A136" s="100">
        <v>135</v>
      </c>
      <c r="B136" s="101">
        <f>IF('Futterkurve Sauen'!$C$6&gt;19,'Futterkurve Sauen'!$K$6^0.75*0.44+5.8*'Futterkurve Sauen'!$I$6-'Futterkurve Sauen'!K$5,'Futterkurve Sauen'!$K$6^0.75*0.44+5.8*'Futterkurve Sauen'!$I$6-'Futterkurve Sauen'!K$5+(19-'Futterkurve Sauen'!$C$6)*0.6)</f>
        <v>77.50806669862115</v>
      </c>
      <c r="C136" s="102">
        <f>IF(C135+0.4&gt;$C$143,$C$143,C135+0.4)</f>
        <v>5.9621589768170118</v>
      </c>
      <c r="D136" s="101">
        <f>IF('Futterkurve Sauen'!$C$6&gt;19,('Futterkurve Sauen'!$K$7-40)^0.75*0.44+5.8*'Futterkurve Sauen'!$I$7-'Futterkurve Sauen'!K$8,('Futterkurve Sauen'!$K$7-40)^0.75*0.44+5.8*'Futterkurve Sauen'!$I$7-'Futterkurve Sauen'!K$8+(19-'Futterkurve Sauen'!$C$6)*0.6)</f>
        <v>82.471480868778784</v>
      </c>
      <c r="E136" s="102">
        <f t="shared" si="0"/>
        <v>6.3439600668291369</v>
      </c>
      <c r="F136" s="101">
        <f>IF('Futterkurve Sauen'!$C$6&gt;19,'Futterkurve Sauen'!$K$7^0.75*0.44+5.8*'Futterkurve Sauen'!$I$7-'Futterkurve Sauen'!K$8,'Futterkurve Sauen'!$K$7^0.75*0.44+5.8*'Futterkurve Sauen'!$I$7-'Futterkurve Sauen'!K$8+(19-'Futterkurve Sauen'!$C$6)*0.6)</f>
        <v>85.961690084968936</v>
      </c>
      <c r="G136" s="102">
        <f t="shared" si="1"/>
        <v>6.6124376988437641</v>
      </c>
      <c r="H136" s="101">
        <f>IF('Futterkurve Sauen'!$C$6&gt;19,('Futterkurve Sauen'!$K$7+30)^0.75*0.44+5.8*'Futterkurve Sauen'!$I$7-'Futterkurve Sauen'!K$8,('Futterkurve Sauen'!$K$7+30)^0.75*0.44+5.8*'Futterkurve Sauen'!$I$7-'Futterkurve Sauen'!K$8+(19-'Futterkurve Sauen'!$C$6)*0.6)</f>
        <v>88.477459651087315</v>
      </c>
      <c r="I136" s="102">
        <f t="shared" si="2"/>
        <v>6.8059584346990238</v>
      </c>
    </row>
    <row r="137" spans="1:9" s="99" customFormat="1">
      <c r="A137" s="100">
        <v>136</v>
      </c>
      <c r="B137" s="101">
        <f>IF('Futterkurve Sauen'!$C$6&gt;19,'Futterkurve Sauen'!$K$6^0.75*0.44+5.8*'Futterkurve Sauen'!$I$6-'Futterkurve Sauen'!K$5,'Futterkurve Sauen'!$K$6^0.75*0.44+5.8*'Futterkurve Sauen'!$I$6-'Futterkurve Sauen'!K$5+(19-'Futterkurve Sauen'!$C$6)*0.6)</f>
        <v>77.50806669862115</v>
      </c>
      <c r="C137" s="102">
        <f>IF(C136+0.4&gt;$C$143,$C$143,C136+0.4)</f>
        <v>5.9621589768170118</v>
      </c>
      <c r="D137" s="101">
        <f>IF('Futterkurve Sauen'!$C$6&gt;19,('Futterkurve Sauen'!$K$7-40)^0.75*0.44+5.8*'Futterkurve Sauen'!$I$7-'Futterkurve Sauen'!K$8,('Futterkurve Sauen'!$K$7-40)^0.75*0.44+5.8*'Futterkurve Sauen'!$I$7-'Futterkurve Sauen'!K$8+(19-'Futterkurve Sauen'!$C$6)*0.6)</f>
        <v>82.471480868778784</v>
      </c>
      <c r="E137" s="102">
        <f t="shared" si="0"/>
        <v>6.3439600668291369</v>
      </c>
      <c r="F137" s="101">
        <f>IF('Futterkurve Sauen'!$C$6&gt;19,'Futterkurve Sauen'!$K$7^0.75*0.44+5.8*'Futterkurve Sauen'!$I$7-'Futterkurve Sauen'!K$8,'Futterkurve Sauen'!$K$7^0.75*0.44+5.8*'Futterkurve Sauen'!$I$7-'Futterkurve Sauen'!K$8+(19-'Futterkurve Sauen'!$C$6)*0.6)</f>
        <v>85.961690084968936</v>
      </c>
      <c r="G137" s="102">
        <f t="shared" si="1"/>
        <v>6.6124376988437641</v>
      </c>
      <c r="H137" s="101">
        <f>IF('Futterkurve Sauen'!$C$6&gt;19,('Futterkurve Sauen'!$K$7+30)^0.75*0.44+5.8*'Futterkurve Sauen'!$I$7-'Futterkurve Sauen'!K$8,('Futterkurve Sauen'!$K$7+30)^0.75*0.44+5.8*'Futterkurve Sauen'!$I$7-'Futterkurve Sauen'!K$8+(19-'Futterkurve Sauen'!$C$6)*0.6)</f>
        <v>88.477459651087315</v>
      </c>
      <c r="I137" s="102">
        <f t="shared" si="2"/>
        <v>6.8059584346990238</v>
      </c>
    </row>
    <row r="138" spans="1:9" s="99" customFormat="1">
      <c r="A138" s="100">
        <v>137</v>
      </c>
      <c r="B138" s="101">
        <f>IF('Futterkurve Sauen'!$C$6&gt;19,'Futterkurve Sauen'!$K$6^0.75*0.44+5.8*'Futterkurve Sauen'!$I$6-'Futterkurve Sauen'!K$5,'Futterkurve Sauen'!$K$6^0.75*0.44+5.8*'Futterkurve Sauen'!$I$6-'Futterkurve Sauen'!K$5+(19-'Futterkurve Sauen'!$C$6)*0.6)</f>
        <v>77.50806669862115</v>
      </c>
      <c r="C138" s="102">
        <f>IF(C137+0.4&gt;$C$143,$C$143,C137+0.4)</f>
        <v>5.9621589768170118</v>
      </c>
      <c r="D138" s="101">
        <f>IF('Futterkurve Sauen'!$C$6&gt;19,('Futterkurve Sauen'!$K$7-40)^0.75*0.44+5.8*'Futterkurve Sauen'!$I$7-'Futterkurve Sauen'!K$8,('Futterkurve Sauen'!$K$7-40)^0.75*0.44+5.8*'Futterkurve Sauen'!$I$7-'Futterkurve Sauen'!K$8+(19-'Futterkurve Sauen'!$C$6)*0.6)</f>
        <v>82.471480868778784</v>
      </c>
      <c r="E138" s="102">
        <f t="shared" si="0"/>
        <v>6.3439600668291369</v>
      </c>
      <c r="F138" s="101">
        <f>IF('Futterkurve Sauen'!$C$6&gt;19,'Futterkurve Sauen'!$K$7^0.75*0.44+5.8*'Futterkurve Sauen'!$I$7-'Futterkurve Sauen'!K$8,'Futterkurve Sauen'!$K$7^0.75*0.44+5.8*'Futterkurve Sauen'!$I$7-'Futterkurve Sauen'!K$8+(19-'Futterkurve Sauen'!$C$6)*0.6)</f>
        <v>85.961690084968936</v>
      </c>
      <c r="G138" s="102">
        <f t="shared" si="1"/>
        <v>6.6124376988437641</v>
      </c>
      <c r="H138" s="101">
        <f>IF('Futterkurve Sauen'!$C$6&gt;19,('Futterkurve Sauen'!$K$7+30)^0.75*0.44+5.8*'Futterkurve Sauen'!$I$7-'Futterkurve Sauen'!K$8,('Futterkurve Sauen'!$K$7+30)^0.75*0.44+5.8*'Futterkurve Sauen'!$I$7-'Futterkurve Sauen'!K$8+(19-'Futterkurve Sauen'!$C$6)*0.6)</f>
        <v>88.477459651087315</v>
      </c>
      <c r="I138" s="102">
        <f t="shared" si="2"/>
        <v>6.8059584346990238</v>
      </c>
    </row>
    <row r="139" spans="1:9" s="99" customFormat="1">
      <c r="A139" s="100">
        <v>138</v>
      </c>
      <c r="B139" s="101">
        <f>IF('Futterkurve Sauen'!$C$6&gt;19,'Futterkurve Sauen'!$K$6^0.75*0.44+5.8*'Futterkurve Sauen'!$I$6-'Futterkurve Sauen'!K$5,'Futterkurve Sauen'!$K$6^0.75*0.44+5.8*'Futterkurve Sauen'!$I$6-'Futterkurve Sauen'!K$5+(19-'Futterkurve Sauen'!$C$6)*0.6)</f>
        <v>77.50806669862115</v>
      </c>
      <c r="C139" s="102">
        <f>IF(C135+0.4&gt;$C$143,$C$143,C135+0.4)</f>
        <v>5.9621589768170118</v>
      </c>
      <c r="D139" s="101">
        <f>IF('Futterkurve Sauen'!$C$6&gt;19,('Futterkurve Sauen'!$K$7-40)^0.75*0.44+5.8*'Futterkurve Sauen'!$I$7-'Futterkurve Sauen'!K$8,('Futterkurve Sauen'!$K$7-40)^0.75*0.44+5.8*'Futterkurve Sauen'!$I$7-'Futterkurve Sauen'!K$8+(19-'Futterkurve Sauen'!$C$6)*0.6)</f>
        <v>82.471480868778784</v>
      </c>
      <c r="E139" s="102">
        <f>IF(E135+0.5&gt;E$143,E$143,E135+0.5)</f>
        <v>6.3439600668291369</v>
      </c>
      <c r="F139" s="101">
        <f>IF('Futterkurve Sauen'!$C$6&gt;19,'Futterkurve Sauen'!$K$7^0.75*0.44+5.8*'Futterkurve Sauen'!$I$7-'Futterkurve Sauen'!K$8,'Futterkurve Sauen'!$K$7^0.75*0.44+5.8*'Futterkurve Sauen'!$I$7-'Futterkurve Sauen'!K$8+(19-'Futterkurve Sauen'!$C$6)*0.6)</f>
        <v>85.961690084968936</v>
      </c>
      <c r="G139" s="102">
        <f>IF(G135+0.5&gt;G$143,G$143,G135+0.5)</f>
        <v>6.6124376988437641</v>
      </c>
      <c r="H139" s="101">
        <f>IF('Futterkurve Sauen'!$C$6&gt;19,('Futterkurve Sauen'!$K$7+30)^0.75*0.44+5.8*'Futterkurve Sauen'!$I$7-'Futterkurve Sauen'!K$8,('Futterkurve Sauen'!$K$7+30)^0.75*0.44+5.8*'Futterkurve Sauen'!$I$7-'Futterkurve Sauen'!K$8+(19-'Futterkurve Sauen'!$C$6)*0.6)</f>
        <v>88.477459651087315</v>
      </c>
      <c r="I139" s="102">
        <f>IF(I135+0.5&gt;I$143,I$143,I135+0.5)</f>
        <v>6.8059584346990238</v>
      </c>
    </row>
    <row r="140" spans="1:9" s="99" customFormat="1">
      <c r="A140" s="100">
        <v>139</v>
      </c>
      <c r="B140" s="101">
        <f>IF('Futterkurve Sauen'!$C$6&gt;19,'Futterkurve Sauen'!$K$6^0.75*0.44+5.8*'Futterkurve Sauen'!$I$6-'Futterkurve Sauen'!K$5,'Futterkurve Sauen'!$K$6^0.75*0.44+5.8*'Futterkurve Sauen'!$I$6-'Futterkurve Sauen'!K$5+(19-'Futterkurve Sauen'!$C$6)*0.6)</f>
        <v>77.50806669862115</v>
      </c>
      <c r="C140" s="102">
        <f>IF(C139&gt;$C$143,$C$143,C139)</f>
        <v>5.9621589768170118</v>
      </c>
      <c r="D140" s="101">
        <f>IF('Futterkurve Sauen'!$C$6&gt;19,('Futterkurve Sauen'!$K$7-40)^0.75*0.44+5.8*'Futterkurve Sauen'!$I$7-'Futterkurve Sauen'!K$8,('Futterkurve Sauen'!$K$7-40)^0.75*0.44+5.8*'Futterkurve Sauen'!$I$7-'Futterkurve Sauen'!K$8+(19-'Futterkurve Sauen'!$C$6)*0.6)</f>
        <v>82.471480868778784</v>
      </c>
      <c r="E140" s="102">
        <f>IF(E139&gt;E$143,E$143,E139)</f>
        <v>6.3439600668291369</v>
      </c>
      <c r="F140" s="101">
        <f>IF('Futterkurve Sauen'!$C$6&gt;19,'Futterkurve Sauen'!$K$7^0.75*0.44+5.8*'Futterkurve Sauen'!$I$7-'Futterkurve Sauen'!K$8,'Futterkurve Sauen'!$K$7^0.75*0.44+5.8*'Futterkurve Sauen'!$I$7-'Futterkurve Sauen'!K$8+(19-'Futterkurve Sauen'!$C$6)*0.6)</f>
        <v>85.961690084968936</v>
      </c>
      <c r="G140" s="102">
        <f>IF(G139&gt;G$143,G$143,G139)</f>
        <v>6.6124376988437641</v>
      </c>
      <c r="H140" s="101">
        <f>IF('Futterkurve Sauen'!$C$6&gt;19,('Futterkurve Sauen'!$K$7+30)^0.75*0.44+5.8*'Futterkurve Sauen'!$I$7-'Futterkurve Sauen'!K$8,('Futterkurve Sauen'!$K$7+30)^0.75*0.44+5.8*'Futterkurve Sauen'!$I$7-'Futterkurve Sauen'!K$8+(19-'Futterkurve Sauen'!$C$6)*0.6)</f>
        <v>88.477459651087315</v>
      </c>
      <c r="I140" s="102">
        <f>IF(I139&gt;I$143,I$143,I139)</f>
        <v>6.8059584346990238</v>
      </c>
    </row>
    <row r="141" spans="1:9" s="99" customFormat="1">
      <c r="A141" s="100">
        <v>140</v>
      </c>
      <c r="B141" s="101">
        <f>IF('Futterkurve Sauen'!$C$6&gt;19,'Futterkurve Sauen'!$K$6^0.75*0.44+5.8*'Futterkurve Sauen'!$I$6-'Futterkurve Sauen'!K$5,'Futterkurve Sauen'!$K$6^0.75*0.44+5.8*'Futterkurve Sauen'!$I$6-'Futterkurve Sauen'!K$5+(19-'Futterkurve Sauen'!$C$6)*0.6)</f>
        <v>77.50806669862115</v>
      </c>
      <c r="C141" s="102">
        <f>IF(C140+0.4&gt;$C$143,$C$143,C140+0.4)</f>
        <v>5.9621589768170118</v>
      </c>
      <c r="D141" s="101">
        <f>IF('Futterkurve Sauen'!$C$6&gt;19,('Futterkurve Sauen'!$K$7-40)^0.75*0.44+5.8*'Futterkurve Sauen'!$I$7-'Futterkurve Sauen'!K$8,('Futterkurve Sauen'!$K$7-40)^0.75*0.44+5.8*'Futterkurve Sauen'!$I$7-'Futterkurve Sauen'!K$8+(19-'Futterkurve Sauen'!$C$6)*0.6)</f>
        <v>82.471480868778784</v>
      </c>
      <c r="E141" s="102">
        <f>IF(E140+0.5&gt;E$143,E$143,E140+0.5)</f>
        <v>6.3439600668291369</v>
      </c>
      <c r="F141" s="101">
        <f>IF('Futterkurve Sauen'!$C$6&gt;19,'Futterkurve Sauen'!$K$7^0.75*0.44+5.8*'Futterkurve Sauen'!$I$7-'Futterkurve Sauen'!K$8,'Futterkurve Sauen'!$K$7^0.75*0.44+5.8*'Futterkurve Sauen'!$I$7-'Futterkurve Sauen'!K$8+(19-'Futterkurve Sauen'!$C$6)*0.6)</f>
        <v>85.961690084968936</v>
      </c>
      <c r="G141" s="102">
        <f>IF(G140+0.5&gt;G$143,G$143,G140+0.5)</f>
        <v>6.6124376988437641</v>
      </c>
      <c r="H141" s="101">
        <f>IF('Futterkurve Sauen'!$C$6&gt;19,('Futterkurve Sauen'!$K$7+30)^0.75*0.44+5.8*'Futterkurve Sauen'!$I$7-'Futterkurve Sauen'!K$8,('Futterkurve Sauen'!$K$7+30)^0.75*0.44+5.8*'Futterkurve Sauen'!$I$7-'Futterkurve Sauen'!K$8+(19-'Futterkurve Sauen'!$C$6)*0.6)</f>
        <v>88.477459651087315</v>
      </c>
      <c r="I141" s="102">
        <f>IF(I140+0.5&gt;I$143,I$143,I140+0.5)</f>
        <v>6.8059584346990238</v>
      </c>
    </row>
    <row r="142" spans="1:9" s="99" customFormat="1">
      <c r="A142" s="100">
        <v>141</v>
      </c>
      <c r="B142" s="101">
        <f>IF('Futterkurve Sauen'!$C$6&gt;19,'Futterkurve Sauen'!$K$6^0.75*0.44+5.8*'Futterkurve Sauen'!$I$6-'Futterkurve Sauen'!K$5,'Futterkurve Sauen'!$K$6^0.75*0.44+5.8*'Futterkurve Sauen'!$I$6-'Futterkurve Sauen'!K$5+(19-'Futterkurve Sauen'!$C$6)*0.6)</f>
        <v>77.50806669862115</v>
      </c>
      <c r="C142" s="102">
        <f>IF(C141+0.4&gt;$C$143,$C$143,C141+0.4)</f>
        <v>5.9621589768170118</v>
      </c>
      <c r="D142" s="101">
        <f>IF('Futterkurve Sauen'!$C$6&gt;19,('Futterkurve Sauen'!$K$7-40)^0.75*0.44+5.8*'Futterkurve Sauen'!$I$7-'Futterkurve Sauen'!K$8,('Futterkurve Sauen'!$K$7-40)^0.75*0.44+5.8*'Futterkurve Sauen'!$I$7-'Futterkurve Sauen'!K$8+(19-'Futterkurve Sauen'!$C$6)*0.6)</f>
        <v>82.471480868778784</v>
      </c>
      <c r="E142" s="102">
        <f>IF(E141+0.5&gt;E$143,E$143,E141+0.5)</f>
        <v>6.3439600668291369</v>
      </c>
      <c r="F142" s="101">
        <f>IF('Futterkurve Sauen'!$C$6&gt;19,'Futterkurve Sauen'!$K$7^0.75*0.44+5.8*'Futterkurve Sauen'!$I$7-'Futterkurve Sauen'!K$8,'Futterkurve Sauen'!$K$7^0.75*0.44+5.8*'Futterkurve Sauen'!$I$7-'Futterkurve Sauen'!K$8+(19-'Futterkurve Sauen'!$C$6)*0.6)</f>
        <v>85.961690084968936</v>
      </c>
      <c r="G142" s="102">
        <f>IF(G141+0.5&gt;G$143,G$143,G141+0.5)</f>
        <v>6.6124376988437641</v>
      </c>
      <c r="H142" s="101">
        <f>IF('Futterkurve Sauen'!$C$6&gt;19,('Futterkurve Sauen'!$K$7+30)^0.75*0.44+5.8*'Futterkurve Sauen'!$I$7-'Futterkurve Sauen'!K$8,('Futterkurve Sauen'!$K$7+30)^0.75*0.44+5.8*'Futterkurve Sauen'!$I$7-'Futterkurve Sauen'!K$8+(19-'Futterkurve Sauen'!$C$6)*0.6)</f>
        <v>88.477459651087315</v>
      </c>
      <c r="I142" s="102">
        <f>IF(I141+0.5&gt;I$143,I$143,I141+0.5)</f>
        <v>6.8059584346990238</v>
      </c>
    </row>
    <row r="143" spans="1:9" s="115" customFormat="1">
      <c r="A143" s="219">
        <v>142</v>
      </c>
      <c r="B143" s="223">
        <f>IF('Futterkurve Sauen'!$C$6&gt;19,'Futterkurve Sauen'!$K$6^0.75*0.44+5.8*'Futterkurve Sauen'!$I$6-'Futterkurve Sauen'!K$5,'Futterkurve Sauen'!$K$6^0.75*0.44+5.8*'Futterkurve Sauen'!$I$6-'Futterkurve Sauen'!K$5+(19-'Futterkurve Sauen'!$C$6)*0.6)</f>
        <v>77.50806669862115</v>
      </c>
      <c r="C143" s="220">
        <f>B143/'Futterkurve Sauen'!$G$7</f>
        <v>5.9621589768170118</v>
      </c>
      <c r="D143" s="222">
        <f>IF('Futterkurve Sauen'!$C$6&gt;19,('Futterkurve Sauen'!$K$7-40)^0.75*0.44+5.8*'Futterkurve Sauen'!$I$7-'Futterkurve Sauen'!K$8,('Futterkurve Sauen'!$K$7-40)^0.75*0.44+5.8*'Futterkurve Sauen'!$I$7-'Futterkurve Sauen'!K$8+(19-'Futterkurve Sauen'!$C$6)*0.6)</f>
        <v>82.471480868778784</v>
      </c>
      <c r="E143" s="220">
        <f>D143/'Futterkurve Sauen'!$G$7</f>
        <v>6.3439600668291369</v>
      </c>
      <c r="F143" s="222">
        <f>IF('Futterkurve Sauen'!$C$6&gt;19,'Futterkurve Sauen'!$K$7^0.75*0.44+5.8*'Futterkurve Sauen'!$I$7-'Futterkurve Sauen'!K$8,'Futterkurve Sauen'!$K$7^0.75*0.44+5.8*'Futterkurve Sauen'!$I$7-'Futterkurve Sauen'!K$8+(19-'Futterkurve Sauen'!$C$6)*0.6)</f>
        <v>85.961690084968936</v>
      </c>
      <c r="G143" s="220">
        <f>F143/'Futterkurve Sauen'!$G$7</f>
        <v>6.6124376988437641</v>
      </c>
      <c r="H143" s="222">
        <f>IF('Futterkurve Sauen'!$C$6&gt;19,('Futterkurve Sauen'!$K$7+30)^0.75*0.44+5.8*'Futterkurve Sauen'!$I$7-'Futterkurve Sauen'!K$8,('Futterkurve Sauen'!$K$7+30)^0.75*0.44+5.8*'Futterkurve Sauen'!$I$7-'Futterkurve Sauen'!K$8+(19-'Futterkurve Sauen'!$C$6)*0.6)</f>
        <v>88.477459651087315</v>
      </c>
      <c r="I143" s="229">
        <f>H143/'Futterkurve Sauen'!$G$7</f>
        <v>6.8059584346990238</v>
      </c>
    </row>
    <row r="144" spans="1:9" s="115" customFormat="1">
      <c r="A144" s="1079">
        <v>143</v>
      </c>
      <c r="B144" s="1080">
        <f>IF('Futterkurve Sauen'!E$6&gt;19,33,33+(19-'Futterkurve Sauen'!$E$6)*0.6+J$1)</f>
        <v>37</v>
      </c>
      <c r="C144" s="132">
        <f>B144/'Futterkurve Sauen'!$C$7</f>
        <v>3.0833333333333335</v>
      </c>
      <c r="D144" s="218">
        <f>IF('Futterkurve Sauen'!E$6&gt;19,36,36+(19-'Futterkurve Sauen'!$E$6)*0.6+J$2)</f>
        <v>42</v>
      </c>
      <c r="E144" s="132">
        <f>D144/'Futterkurve Sauen'!$C$7</f>
        <v>3.5</v>
      </c>
      <c r="F144" s="218">
        <f>IF('Futterkurve Sauen'!E$6&gt;19,37,37+(19-'Futterkurve Sauen'!$E$6)*0.6+J$2)</f>
        <v>43</v>
      </c>
      <c r="G144" s="132">
        <f>F144/'Futterkurve Sauen'!$C$7</f>
        <v>3.5833333333333335</v>
      </c>
      <c r="H144" s="218">
        <f>IF('Futterkurve Sauen'!E$6&gt;19,34,34+(19-'Futterkurve Sauen'!$E$6)*0.6+J$2)</f>
        <v>40</v>
      </c>
      <c r="I144" s="132">
        <f>H144/'Futterkurve Sauen'!$C$7</f>
        <v>3.3333333333333335</v>
      </c>
    </row>
    <row r="145" spans="1:9" s="130" customFormat="1">
      <c r="A145" s="1081">
        <v>144</v>
      </c>
      <c r="B145" s="1082">
        <f>IF('Futterkurve Sauen'!E$6&gt;19,33,33+(19-'Futterkurve Sauen'!$E$6)*0.6+J$1)</f>
        <v>37</v>
      </c>
      <c r="C145" s="230">
        <f>B145/'Futterkurve Sauen'!$C$7</f>
        <v>3.0833333333333335</v>
      </c>
      <c r="D145" s="127">
        <f>IF('Futterkurve Sauen'!E$6&gt;19,36,36+(19-'Futterkurve Sauen'!$E$6)*0.6+J$2)</f>
        <v>42</v>
      </c>
      <c r="E145" s="230">
        <f>D145/'Futterkurve Sauen'!$C$7</f>
        <v>3.5</v>
      </c>
      <c r="F145" s="127">
        <f>IF('Futterkurve Sauen'!E$6&gt;19,37,37+(19-'Futterkurve Sauen'!$E$6)*0.6+J$2)</f>
        <v>43</v>
      </c>
      <c r="G145" s="230">
        <f>F145/'Futterkurve Sauen'!$C$7</f>
        <v>3.5833333333333335</v>
      </c>
      <c r="H145" s="127">
        <f>IF('Futterkurve Sauen'!E$6&gt;19,34,34+(19-'Futterkurve Sauen'!$E$6)*0.6+J$2)</f>
        <v>40</v>
      </c>
      <c r="I145" s="230">
        <f>H145/'Futterkurve Sauen'!$C$7</f>
        <v>3.3333333333333335</v>
      </c>
    </row>
    <row r="146" spans="1:9" s="130" customFormat="1">
      <c r="A146" s="1081">
        <v>145</v>
      </c>
      <c r="B146" s="1082">
        <f>IF('Futterkurve Sauen'!E$6&gt;19,33,33+(19-'Futterkurve Sauen'!$E$6)*0.6+J$1)</f>
        <v>37</v>
      </c>
      <c r="C146" s="230">
        <f>B146/'Futterkurve Sauen'!$C$7</f>
        <v>3.0833333333333335</v>
      </c>
      <c r="D146" s="127">
        <f>IF('Futterkurve Sauen'!E$6&gt;19,36,36+(19-'Futterkurve Sauen'!$E$6)*0.6+J$2)</f>
        <v>42</v>
      </c>
      <c r="E146" s="230">
        <f>D146/'Futterkurve Sauen'!$C$7</f>
        <v>3.5</v>
      </c>
      <c r="F146" s="127">
        <f>IF('Futterkurve Sauen'!E$6&gt;19,37,37+(19-'Futterkurve Sauen'!$E$6)*0.6+J$2)</f>
        <v>43</v>
      </c>
      <c r="G146" s="230">
        <f>F146/'Futterkurve Sauen'!$C$7</f>
        <v>3.5833333333333335</v>
      </c>
      <c r="H146" s="127">
        <f>IF('Futterkurve Sauen'!E$6&gt;19,34,34+(19-'Futterkurve Sauen'!$E$6)*0.6+J$2)</f>
        <v>40</v>
      </c>
      <c r="I146" s="230">
        <f>H146/'Futterkurve Sauen'!$C$7</f>
        <v>3.3333333333333335</v>
      </c>
    </row>
    <row r="147" spans="1:9" s="130" customFormat="1">
      <c r="A147" s="1081">
        <v>146</v>
      </c>
      <c r="B147" s="1082">
        <f>IF('Futterkurve Sauen'!E$6&gt;19,33,33+(19-'Futterkurve Sauen'!$E$6)*0.6+J$1)</f>
        <v>37</v>
      </c>
      <c r="C147" s="230">
        <f>B147/'Futterkurve Sauen'!$C$7</f>
        <v>3.0833333333333335</v>
      </c>
      <c r="D147" s="127">
        <f>IF('Futterkurve Sauen'!E$6&gt;19,36,36+(19-'Futterkurve Sauen'!$E$6)*0.6+J$2)</f>
        <v>42</v>
      </c>
      <c r="E147" s="230">
        <f>D147/'Futterkurve Sauen'!$C$7</f>
        <v>3.5</v>
      </c>
      <c r="F147" s="127">
        <f>IF('Futterkurve Sauen'!E$6&gt;19,37,37+(19-'Futterkurve Sauen'!$E$6)*0.6+J$2)</f>
        <v>43</v>
      </c>
      <c r="G147" s="230">
        <f>F147/'Futterkurve Sauen'!$C$7</f>
        <v>3.5833333333333335</v>
      </c>
      <c r="H147" s="127">
        <f>IF('Futterkurve Sauen'!E$6&gt;19,34,34+(19-'Futterkurve Sauen'!$E$6)*0.6+J$2)</f>
        <v>40</v>
      </c>
      <c r="I147" s="230">
        <f>H147/'Futterkurve Sauen'!$C$7</f>
        <v>3.3333333333333335</v>
      </c>
    </row>
    <row r="148" spans="1:9" s="130" customFormat="1">
      <c r="A148" s="1083">
        <v>147</v>
      </c>
      <c r="B148" s="1084">
        <f>IF('Futterkurve Sauen'!E$6&gt;19,33,33+(19-'Futterkurve Sauen'!$E$6)*0.6+J$1)</f>
        <v>37</v>
      </c>
      <c r="C148" s="231">
        <f>B148/'Futterkurve Sauen'!$C$7</f>
        <v>3.0833333333333335</v>
      </c>
      <c r="D148" s="128">
        <f>IF('Futterkurve Sauen'!E$6&gt;19,36,36+(19-'Futterkurve Sauen'!$E$6)*0.6+J$2)</f>
        <v>42</v>
      </c>
      <c r="E148" s="231">
        <f>D148/'Futterkurve Sauen'!$C$7</f>
        <v>3.5</v>
      </c>
      <c r="F148" s="128">
        <f>IF('Futterkurve Sauen'!E$6&gt;19,37,37+(19-'Futterkurve Sauen'!$E$6)*0.6+J$2)</f>
        <v>43</v>
      </c>
      <c r="G148" s="231">
        <f>F148/'Futterkurve Sauen'!$C$7</f>
        <v>3.5833333333333335</v>
      </c>
      <c r="H148" s="128">
        <f>IF('Futterkurve Sauen'!E$6&gt;19,34,34+(19-'Futterkurve Sauen'!$E$6)*0.6+J$2)</f>
        <v>40</v>
      </c>
      <c r="I148" s="231">
        <f>H148/'Futterkurve Sauen'!$C$7</f>
        <v>3.3333333333333335</v>
      </c>
    </row>
    <row r="149" spans="1:9">
      <c r="A149" s="210"/>
      <c r="B149" s="210"/>
    </row>
  </sheetData>
  <sheetProtection sheet="1" objects="1" scenarios="1" selectLockedCells="1"/>
  <customSheetViews>
    <customSheetView guid="{459F3284-99E1-4A46-80B6-CF44B0CB392E}" fitToPage="1" hiddenColumns="1">
      <selection activeCell="E135" sqref="E135"/>
      <printOptions horizontalCentered="1"/>
      <pageSetup paperSize="9" scale="74" fitToHeight="2" orientation="portrait"/>
      <headerFooter alignWithMargins="0">
        <oddHeader>&amp;C&amp;"Arial,Fett"&amp;16&amp;UFutterzuteilungsliste für Sauen</oddHeader>
      </headerFooter>
    </customSheetView>
  </customSheetView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2" fitToHeight="2" orientation="portrait"/>
  <headerFooter alignWithMargins="0">
    <oddHeader>&amp;C&amp;"Arial,Fett"&amp;16&amp;UFutterzuteilungsliste für Sauen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tabColor indexed="8"/>
    <pageSetUpPr fitToPage="1"/>
  </sheetPr>
  <dimension ref="D1:AB100"/>
  <sheetViews>
    <sheetView showGridLines="0" showRowColHeaders="0" topLeftCell="A130" zoomScale="162" zoomScaleNormal="162" zoomScalePageLayoutView="162" workbookViewId="0">
      <selection activeCell="K5" sqref="K5"/>
    </sheetView>
  </sheetViews>
  <sheetFormatPr baseColWidth="10" defaultRowHeight="12" x14ac:dyDescent="0"/>
  <cols>
    <col min="1" max="1" width="2.5" style="14" customWidth="1"/>
    <col min="2" max="2" width="1.5" style="14" customWidth="1"/>
    <col min="3" max="9" width="10.83203125" style="14"/>
    <col min="10" max="10" width="7.1640625" style="14" customWidth="1"/>
    <col min="11" max="16384" width="10.83203125" style="14"/>
  </cols>
  <sheetData>
    <row r="1" spans="4:28" s="99" customFormat="1" ht="5.25" customHeight="1"/>
    <row r="2" spans="4:28" s="99" customFormat="1" ht="24" customHeight="1"/>
    <row r="3" spans="4:28" s="99" customFormat="1" ht="3.75" customHeight="1">
      <c r="Z3" s="14"/>
      <c r="AA3" s="14"/>
      <c r="AB3" s="14"/>
    </row>
    <row r="4" spans="4:28" ht="12.75" customHeight="1">
      <c r="D4" s="15"/>
      <c r="I4" s="986"/>
    </row>
    <row r="5" spans="4:28" ht="12.75" customHeight="1">
      <c r="D5" s="15"/>
    </row>
    <row r="6" spans="4:28" ht="12.75" customHeight="1"/>
    <row r="7" spans="4:28" ht="12.75" customHeight="1">
      <c r="K7" s="1365" t="s">
        <v>1122</v>
      </c>
    </row>
    <row r="8" spans="4:28" ht="12.75" customHeight="1"/>
    <row r="9" spans="4:28" ht="12.75" customHeight="1"/>
    <row r="10" spans="4:28" ht="12.75" customHeight="1"/>
    <row r="11" spans="4:28" ht="12.75" customHeight="1"/>
    <row r="12" spans="4:28" ht="12.75" customHeight="1"/>
    <row r="13" spans="4:28" ht="12.75" customHeight="1"/>
    <row r="14" spans="4:28" ht="12.75" customHeight="1"/>
    <row r="15" spans="4:28" ht="12.75" customHeight="1"/>
    <row r="16" spans="4:28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electLockedCells="1"/>
  <customSheetViews>
    <customSheetView guid="{459F3284-99E1-4A46-80B6-CF44B0CB392E}" scale="150">
      <selection activeCell="E4" sqref="E4"/>
      <printOptions horizontalCentered="1" verticalCentered="1"/>
      <pageSetup paperSize="9" orientation="portrait"/>
      <headerFooter alignWithMargins="0"/>
    </customSheetView>
  </customSheetViews>
  <phoneticPr fontId="2" type="noConversion"/>
  <printOptions horizontalCentered="1"/>
  <pageMargins left="0.87" right="0.39370078740157483" top="0.43" bottom="0.43307086614173229" header="0" footer="0"/>
  <pageSetup paperSize="9" scale="80" fitToHeight="2" orientation="portrait"/>
  <headerFooter alignWithMargins="0"/>
  <drawing r:id="rId1"/>
  <legacyDrawing r:id="rId2"/>
  <oleObjects>
    <mc:AlternateContent xmlns:mc="http://schemas.openxmlformats.org/markup-compatibility/2006">
      <mc:Choice Requires="x14">
        <oleObject progId="Word.Document.12" shapeId="105502" r:id="rId3">
          <objectPr defaultSize="0" r:id="rId4">
            <anchor moveWithCells="1">
              <from>
                <xdr:col>1</xdr:col>
                <xdr:colOff>25400</xdr:colOff>
                <xdr:row>7</xdr:row>
                <xdr:rowOff>114300</xdr:rowOff>
              </from>
              <to>
                <xdr:col>11</xdr:col>
                <xdr:colOff>635000</xdr:colOff>
                <xdr:row>70</xdr:row>
                <xdr:rowOff>127000</xdr:rowOff>
              </to>
            </anchor>
          </objectPr>
        </oleObject>
      </mc:Choice>
      <mc:Fallback>
        <oleObject progId="Word.Document.12" shapeId="105502" r:id="rId3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73" r:id="rId5" name="Button 1">
              <controlPr defaultSize="0" print="0" autoFill="0" autoPict="0" macro="[0]!Startseite">
                <anchor moveWithCells="1">
                  <from>
                    <xdr:col>1</xdr:col>
                    <xdr:colOff>88900</xdr:colOff>
                    <xdr:row>1</xdr:row>
                    <xdr:rowOff>25400</xdr:rowOff>
                  </from>
                  <to>
                    <xdr:col>4</xdr:col>
                    <xdr:colOff>177800</xdr:colOff>
                    <xdr:row>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80" r:id="rId6" name="Button 8">
              <controlPr defaultSize="0" print="0" autoFill="0" autoPict="0" macro="[0]!Futterberechnung">
                <anchor moveWithCells="1">
                  <from>
                    <xdr:col>5</xdr:col>
                    <xdr:colOff>444500</xdr:colOff>
                    <xdr:row>1</xdr:row>
                    <xdr:rowOff>25400</xdr:rowOff>
                  </from>
                  <to>
                    <xdr:col>7</xdr:col>
                    <xdr:colOff>622300</xdr:colOff>
                    <xdr:row>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85" r:id="rId7" name="Button 13">
              <controlPr defaultSize="0" print="0" autoFill="0" autoPict="0" macro="[0]!Preiswürdigkeit">
                <anchor moveWithCells="1">
                  <from>
                    <xdr:col>9</xdr:col>
                    <xdr:colOff>177800</xdr:colOff>
                    <xdr:row>1</xdr:row>
                    <xdr:rowOff>12700</xdr:rowOff>
                  </from>
                  <to>
                    <xdr:col>11</xdr:col>
                    <xdr:colOff>635000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 enableFormatConditionsCalculation="0">
    <tabColor theme="5" tint="0.59999389629810485"/>
    <pageSetUpPr fitToPage="1"/>
  </sheetPr>
  <dimension ref="B1:AC67"/>
  <sheetViews>
    <sheetView showGridLines="0" showRowColHeaders="0" zoomScale="108" zoomScaleNormal="108" zoomScalePageLayoutView="108" workbookViewId="0">
      <selection activeCell="H10" sqref="H10:L10"/>
    </sheetView>
  </sheetViews>
  <sheetFormatPr baseColWidth="10" defaultRowHeight="12" x14ac:dyDescent="0"/>
  <cols>
    <col min="1" max="1" width="1.5" style="14" customWidth="1"/>
    <col min="2" max="2" width="47" style="14" customWidth="1"/>
    <col min="3" max="7" width="10.83203125" style="14"/>
    <col min="8" max="8" width="20.33203125" style="14" customWidth="1"/>
    <col min="9" max="9" width="5.6640625" style="1223" bestFit="1" customWidth="1"/>
    <col min="10" max="10" width="10.83203125" style="14"/>
    <col min="11" max="11" width="11.5" style="14" customWidth="1"/>
    <col min="12" max="16384" width="10.83203125" style="14"/>
  </cols>
  <sheetData>
    <row r="1" spans="2:29" s="99" customFormat="1" ht="5.25" customHeight="1">
      <c r="I1" s="1223"/>
    </row>
    <row r="2" spans="2:29" s="99" customFormat="1" ht="24" customHeight="1">
      <c r="I2" s="1223"/>
    </row>
    <row r="3" spans="2:29" s="99" customFormat="1" ht="5" customHeight="1">
      <c r="I3" s="1223"/>
      <c r="AA3" s="14"/>
      <c r="AB3" s="14"/>
      <c r="AC3" s="14"/>
    </row>
    <row r="4" spans="2:29">
      <c r="C4" s="15" t="s">
        <v>0</v>
      </c>
      <c r="J4" s="986"/>
    </row>
    <row r="5" spans="2:29">
      <c r="C5" s="15" t="s">
        <v>1</v>
      </c>
    </row>
    <row r="6" spans="2:29">
      <c r="J6" s="931"/>
    </row>
    <row r="9" spans="2:29" ht="17">
      <c r="B9" s="1389"/>
      <c r="C9" s="1389"/>
      <c r="D9" s="1389"/>
      <c r="E9" s="1389"/>
      <c r="F9" s="1389"/>
      <c r="G9" s="1389"/>
      <c r="H9" s="1389"/>
      <c r="I9" s="1390"/>
      <c r="J9" s="1389"/>
      <c r="K9" s="1389"/>
      <c r="L9" s="1389"/>
      <c r="M9" s="1389"/>
    </row>
    <row r="10" spans="2:29" s="1165" customFormat="1" ht="15">
      <c r="B10" s="1387" t="s">
        <v>3</v>
      </c>
      <c r="C10" s="1636" t="str">
        <f>Futterberechnung!H5</f>
        <v>Mustermann</v>
      </c>
      <c r="D10" s="1637"/>
      <c r="E10" s="1637"/>
      <c r="F10" s="1637"/>
      <c r="G10" s="1637"/>
      <c r="H10" s="1638"/>
      <c r="I10" s="1639"/>
      <c r="J10" s="1639"/>
      <c r="K10" s="1639"/>
      <c r="L10" s="1639"/>
      <c r="M10" s="1388"/>
    </row>
    <row r="11" spans="2:29" s="1165" customFormat="1" ht="15">
      <c r="B11" s="1408" t="s">
        <v>4</v>
      </c>
      <c r="C11" s="1645" t="str">
        <f>IF(Futterberechnung!H7="","",Futterberechnung!H7)</f>
        <v xml:space="preserve">Anfangsmast ab 40 Kg LM für 850 g TZ* </v>
      </c>
      <c r="D11" s="1637"/>
      <c r="E11" s="1637"/>
      <c r="F11" s="1637"/>
      <c r="G11" s="1637"/>
      <c r="H11" s="1648" t="str">
        <f>IF(Futterberechnung!P7="","",Futterberechnung!P7)</f>
        <v>…………………………………………………………..</v>
      </c>
      <c r="I11" s="1637"/>
      <c r="J11" s="1637"/>
      <c r="K11" s="1637"/>
      <c r="L11" s="1637"/>
      <c r="M11" s="1637"/>
    </row>
    <row r="12" spans="2:29" s="1165" customFormat="1" ht="15">
      <c r="B12" s="1409"/>
      <c r="C12" s="1645" t="str">
        <f>Futterberechnung!J8</f>
        <v/>
      </c>
      <c r="D12" s="1646"/>
      <c r="E12" s="1646"/>
      <c r="F12" s="1646"/>
      <c r="G12" s="1646"/>
      <c r="H12" s="1646"/>
      <c r="I12" s="1647"/>
      <c r="J12" s="1647"/>
      <c r="K12" s="1647"/>
      <c r="L12" s="1647"/>
      <c r="M12" s="1410"/>
    </row>
    <row r="13" spans="2:29" ht="13" thickBot="1"/>
    <row r="14" spans="2:29" s="1145" customFormat="1" ht="39" customHeight="1" thickBot="1">
      <c r="B14" s="1146" t="s">
        <v>23</v>
      </c>
      <c r="C14" s="1157" t="s">
        <v>708</v>
      </c>
      <c r="D14" s="1158" t="s">
        <v>865</v>
      </c>
      <c r="E14" s="1158" t="s">
        <v>866</v>
      </c>
      <c r="F14" s="1183" t="s">
        <v>706</v>
      </c>
      <c r="H14" s="1642" t="s">
        <v>802</v>
      </c>
      <c r="I14" s="1643"/>
      <c r="J14" s="1643"/>
      <c r="K14" s="1644"/>
      <c r="L14" s="1198" t="s">
        <v>709</v>
      </c>
      <c r="M14" s="1198" t="s">
        <v>710</v>
      </c>
    </row>
    <row r="15" spans="2:29" ht="13">
      <c r="B15" s="1147" t="str">
        <f>IF(Futterberechnung!C13="","",Futterberechnung!C13)</f>
        <v>eigener Weizen 11% RP Ø 2016</v>
      </c>
      <c r="C15" s="1148">
        <f>IF(Futterberechnung!E13="","",Futterberechnung!E13)</f>
        <v>12.68</v>
      </c>
      <c r="D15" s="1149">
        <f>IF(Futterberechnung!F13="","",Futterberechnung!F13)</f>
        <v>0.52</v>
      </c>
      <c r="E15" s="1149">
        <f>IF(Futterberechnung!G13="","",Futterberechnung!G13)</f>
        <v>0.516746843733767</v>
      </c>
      <c r="F15" s="1184">
        <f>IF(Futterberechnung!H13="","",Futterberechnung!H13)</f>
        <v>520</v>
      </c>
      <c r="H15" s="1202"/>
      <c r="I15" s="1290" t="s">
        <v>804</v>
      </c>
      <c r="J15" s="1291" t="s">
        <v>803</v>
      </c>
      <c r="K15" s="1292" t="s">
        <v>722</v>
      </c>
      <c r="L15" s="1411" t="s">
        <v>722</v>
      </c>
      <c r="M15" s="1210"/>
    </row>
    <row r="16" spans="2:29" ht="13">
      <c r="B16" s="1150" t="str">
        <f>IF(Futterberechnung!C14="","",Futterberechnung!C14)</f>
        <v>eigene Gerste 11% RP Ø 2016</v>
      </c>
      <c r="C16" s="1151">
        <f>IF(Futterberechnung!E14="","",Futterberechnung!E14)</f>
        <v>11.22</v>
      </c>
      <c r="D16" s="1152">
        <f>IF(Futterberechnung!F14="","",Futterberechnung!F14)</f>
        <v>0.28000000000000003</v>
      </c>
      <c r="E16" s="1152">
        <f>IF(Futterberechnung!G14="","",Futterberechnung!G14)</f>
        <v>0.27824830047202836</v>
      </c>
      <c r="F16" s="1185">
        <f>IF(Futterberechnung!H14="","",Futterberechnung!H14)</f>
        <v>280</v>
      </c>
      <c r="H16" s="1176" t="s">
        <v>157</v>
      </c>
      <c r="I16" s="1221" t="s">
        <v>36</v>
      </c>
      <c r="J16" s="1189">
        <f>IF(Futterberechnung!I30="","",Futterberechnung!I30)</f>
        <v>885.54000000000008</v>
      </c>
      <c r="K16" s="1177">
        <f>IF(Futterberechnung!I31="","",Futterberechnung!I31)</f>
        <v>880</v>
      </c>
      <c r="L16" s="1171"/>
      <c r="M16" s="1166"/>
    </row>
    <row r="17" spans="2:13" ht="15">
      <c r="B17" s="1150" t="str">
        <f>IF(Futterberechnung!C15="","",Futterberechnung!C15)</f>
        <v xml:space="preserve">Sojaschrot HP 47% RP </v>
      </c>
      <c r="C17" s="1151">
        <f>IF(Futterberechnung!E15="","",Futterberechnung!E15)</f>
        <v>35.5</v>
      </c>
      <c r="D17" s="1152">
        <f>IF(Futterberechnung!F15="","",Futterberechnung!F15)</f>
        <v>0.155</v>
      </c>
      <c r="E17" s="1152">
        <f>IF(Futterberechnung!G15="","",Futterberechnung!G15)</f>
        <v>0.155780653612485</v>
      </c>
      <c r="F17" s="1185">
        <f>IF(Futterberechnung!H15="","",Futterberechnung!H15)</f>
        <v>155</v>
      </c>
      <c r="H17" s="1391" t="s">
        <v>800</v>
      </c>
      <c r="I17" s="1392" t="s">
        <v>37</v>
      </c>
      <c r="J17" s="1393">
        <f>IF(Futterberechnung!$M$30="","",Futterberechnung!$M$30)</f>
        <v>13.272026620244754</v>
      </c>
      <c r="K17" s="1394">
        <f>IF(Futterberechnung!$M$31="","",Futterberechnung!$M$31)</f>
        <v>13.19</v>
      </c>
      <c r="L17" s="1512">
        <f>IF(Futterberechnung!$M$33="","",Futterberechnung!$M$33)</f>
        <v>13.2</v>
      </c>
      <c r="M17" s="1395">
        <f>IF(Futterberechnung!$M$34="","",Futterberechnung!$M$34)</f>
        <v>-0.01</v>
      </c>
    </row>
    <row r="18" spans="2:13" ht="15">
      <c r="B18" s="1150" t="str">
        <f>IF(Futterberechnung!C16="","",Futterberechnung!C16)</f>
        <v>Rapsöl / Pflanzenöl DLG 2014</v>
      </c>
      <c r="C18" s="1151">
        <f>IF(Futterberechnung!E16="","",Futterberechnung!E16)</f>
        <v>97</v>
      </c>
      <c r="D18" s="1152">
        <f>IF(Futterberechnung!F16="","",Futterberechnung!F16)</f>
        <v>0.01</v>
      </c>
      <c r="E18" s="1152">
        <f>IF(Futterberechnung!G16="","",Futterberechnung!G16)</f>
        <v>1.1281252117352123E-2</v>
      </c>
      <c r="F18" s="1185">
        <f>IF(Futterberechnung!H16="","",Futterberechnung!H16)</f>
        <v>10</v>
      </c>
      <c r="H18" s="1437" t="s">
        <v>801</v>
      </c>
      <c r="I18" s="1438" t="s">
        <v>37</v>
      </c>
      <c r="J18" s="1439">
        <f>IF(Futterberechnung!$N$30="","",Futterberechnung!$N$30)</f>
        <v>13.264975816244757</v>
      </c>
      <c r="K18" s="1440">
        <f>IF(Futterberechnung!$N$31="","",Futterberechnung!$N$31)</f>
        <v>13.18</v>
      </c>
      <c r="L18" s="1504">
        <f>IF(Futterberechnung!$N$33="","",Futterberechnung!$N$33)</f>
        <v>13.2</v>
      </c>
      <c r="M18" s="1441">
        <f>IF(Futterberechnung!$N$34="","",Futterberechnung!$N$34)</f>
        <v>-0.02</v>
      </c>
    </row>
    <row r="19" spans="2:13" ht="15">
      <c r="B19" s="1150" t="str">
        <f>IF(Futterberechnung!C17="","",Futterberechnung!C17)</f>
        <v/>
      </c>
      <c r="C19" s="1151" t="str">
        <f>IF(Futterberechnung!E17="","",Futterberechnung!E17)</f>
        <v/>
      </c>
      <c r="D19" s="1152" t="str">
        <f>IF(Futterberechnung!F17="","",Futterberechnung!F17)</f>
        <v/>
      </c>
      <c r="E19" s="1152" t="str">
        <f>IF(Futterberechnung!G17="","",Futterberechnung!G17)</f>
        <v/>
      </c>
      <c r="F19" s="1185" t="str">
        <f>IF(Futterberechnung!H17="","",Futterberechnung!H17)</f>
        <v xml:space="preserve"> </v>
      </c>
      <c r="H19" s="1437" t="s">
        <v>712</v>
      </c>
      <c r="I19" s="1438" t="s">
        <v>36</v>
      </c>
      <c r="J19" s="1533">
        <f>IF(Futterberechnung!$J$30="","",Futterberechnung!$J$30)</f>
        <v>164.33674728049729</v>
      </c>
      <c r="K19" s="1534">
        <f>IF(Futterberechnung!$J$31="","",Futterberechnung!$J$31)</f>
        <v>163</v>
      </c>
      <c r="L19" s="1535">
        <f>IF(Futterberechnung!$J$33="","",Futterberechnung!$J$33)</f>
        <v>163</v>
      </c>
      <c r="M19" s="1536">
        <f>IF(Futterberechnung!$J$34="","",Futterberechnung!$J$34)</f>
        <v>0</v>
      </c>
    </row>
    <row r="20" spans="2:13" ht="15">
      <c r="B20" s="1150" t="str">
        <f>IF(Futterberechnung!C18="","",Futterberechnung!C18)</f>
        <v/>
      </c>
      <c r="C20" s="1151" t="str">
        <f>IF(Futterberechnung!E18="","",Futterberechnung!E18)</f>
        <v/>
      </c>
      <c r="D20" s="1152" t="str">
        <f>IF(Futterberechnung!F18="","",Futterberechnung!F18)</f>
        <v/>
      </c>
      <c r="E20" s="1152" t="str">
        <f>IF(Futterberechnung!G18="","",Futterberechnung!G18)</f>
        <v/>
      </c>
      <c r="F20" s="1185" t="str">
        <f>IF(Futterberechnung!H18="","",Futterberechnung!H18)</f>
        <v xml:space="preserve"> </v>
      </c>
      <c r="H20" s="1437" t="s">
        <v>15</v>
      </c>
      <c r="I20" s="1438" t="s">
        <v>36</v>
      </c>
      <c r="J20" s="1537">
        <f>IF(Futterberechnung!$O$30="","",Futterberechnung!$O$30)</f>
        <v>10.126104645454545</v>
      </c>
      <c r="K20" s="1538">
        <f>IF(Futterberechnung!$O$31="","",Futterberechnung!$O$31)</f>
        <v>10.1</v>
      </c>
      <c r="L20" s="1535">
        <f>IF(Futterberechnung!$O$33="","",Futterberechnung!$O$33)</f>
        <v>10.199999999999999</v>
      </c>
      <c r="M20" s="1539">
        <f>IF(Futterberechnung!$O$34="","",Futterberechnung!$O$34)</f>
        <v>-0.1</v>
      </c>
    </row>
    <row r="21" spans="2:13" ht="15">
      <c r="B21" s="1150" t="str">
        <f>IF(Futterberechnung!C19="","",Futterberechnung!C19)</f>
        <v/>
      </c>
      <c r="C21" s="1151" t="str">
        <f>IF(Futterberechnung!E19="","",Futterberechnung!E19)</f>
        <v/>
      </c>
      <c r="D21" s="1152" t="str">
        <f>IF(Futterberechnung!F19="","",Futterberechnung!F19)</f>
        <v/>
      </c>
      <c r="E21" s="1152" t="str">
        <f>IF(Futterberechnung!G19="","",Futterberechnung!G19)</f>
        <v/>
      </c>
      <c r="F21" s="1185" t="str">
        <f>IF(Futterberechnung!H19="","",Futterberechnung!H19)</f>
        <v xml:space="preserve"> </v>
      </c>
      <c r="H21" s="1391" t="s">
        <v>243</v>
      </c>
      <c r="I21" s="1392" t="s">
        <v>36</v>
      </c>
      <c r="J21" s="1396">
        <f>IF(Futterberechnung!$P$30="","",Futterberechnung!$P$30)</f>
        <v>9.0617395775454543</v>
      </c>
      <c r="K21" s="1397">
        <f>IF(Futterberechnung!$P$31="","",Futterberechnung!$P$31)</f>
        <v>9</v>
      </c>
      <c r="L21" s="1412">
        <f>IF(Futterberechnung!$P$33="","",Futterberechnung!$P$33)</f>
        <v>8.9</v>
      </c>
      <c r="M21" s="1398">
        <f>IF(Futterberechnung!$P$34="","",Futterberechnung!$P$34)</f>
        <v>0.1</v>
      </c>
    </row>
    <row r="22" spans="2:13" ht="13">
      <c r="B22" s="1150" t="str">
        <f>IF(Futterberechnung!C20="","",Futterberechnung!C20)</f>
        <v/>
      </c>
      <c r="C22" s="1151" t="str">
        <f>IF(Futterberechnung!E20="","",Futterberechnung!E20)</f>
        <v/>
      </c>
      <c r="D22" s="1152" t="str">
        <f>IF(Futterberechnung!F20="","",Futterberechnung!F20)</f>
        <v/>
      </c>
      <c r="E22" s="1152" t="str">
        <f>IF(Futterberechnung!G20="","",Futterberechnung!G20)</f>
        <v/>
      </c>
      <c r="F22" s="1185" t="str">
        <f>IF(Futterberechnung!H20="","",Futterberechnung!H20)</f>
        <v xml:space="preserve"> </v>
      </c>
      <c r="H22" s="1175" t="s">
        <v>600</v>
      </c>
      <c r="I22" s="1216" t="s">
        <v>36</v>
      </c>
      <c r="J22" s="1192">
        <f>IF(Futterberechnung!$G$63="","",Futterberechnung!$G$63)</f>
        <v>2.8891318590909094</v>
      </c>
      <c r="K22" s="1181">
        <f>IF(Futterberechnung!$G$64="","",Futterberechnung!$G$64)</f>
        <v>2.9</v>
      </c>
      <c r="L22" s="1173">
        <f>IF(Futterberechnung!$G$66="","",Futterberechnung!$G$66)</f>
        <v>2.9</v>
      </c>
      <c r="M22" s="1167">
        <f>IF(Futterberechnung!$G67="","",Futterberechnung!$G$67)</f>
        <v>0</v>
      </c>
    </row>
    <row r="23" spans="2:13" ht="13">
      <c r="B23" s="1150" t="str">
        <f>IF(Futterberechnung!C21="","",Futterberechnung!C21)</f>
        <v/>
      </c>
      <c r="C23" s="1151" t="str">
        <f>IF(Futterberechnung!E21="","",Futterberechnung!E21)</f>
        <v/>
      </c>
      <c r="D23" s="1152" t="str">
        <f>IF(Futterberechnung!F21="","",Futterberechnung!F21)</f>
        <v/>
      </c>
      <c r="E23" s="1152" t="str">
        <f>IF(Futterberechnung!G21="","",Futterberechnung!G21)</f>
        <v/>
      </c>
      <c r="F23" s="1185" t="str">
        <f>IF(Futterberechnung!H21="","",Futterberechnung!H21)</f>
        <v xml:space="preserve"> </v>
      </c>
      <c r="H23" s="1175" t="s">
        <v>601</v>
      </c>
      <c r="I23" s="1216" t="s">
        <v>36</v>
      </c>
      <c r="J23" s="1192">
        <f>IF(Futterberechnung!$H$63="","",Futterberechnung!$H$63)</f>
        <v>2.5801732039999998</v>
      </c>
      <c r="K23" s="1181">
        <f>IF(Futterberechnung!$H$64="","",Futterberechnung!$H$64)</f>
        <v>2.6</v>
      </c>
      <c r="L23" s="1173">
        <f>IF(Futterberechnung!$H$66="","",Futterberechnung!$H$66)</f>
        <v>2.6</v>
      </c>
      <c r="M23" s="1167">
        <f>IF(Futterberechnung!$H67="","",Futterberechnung!$H$67)</f>
        <v>0</v>
      </c>
    </row>
    <row r="24" spans="2:13" ht="13">
      <c r="B24" s="1150" t="str">
        <f>IF(Futterberechnung!C22="","",Futterberechnung!C22)</f>
        <v/>
      </c>
      <c r="C24" s="1151" t="str">
        <f>IF(Futterberechnung!E22="","",Futterberechnung!E22)</f>
        <v/>
      </c>
      <c r="D24" s="1152" t="str">
        <f>IF(Futterberechnung!F22="","",Futterberechnung!F22)</f>
        <v/>
      </c>
      <c r="E24" s="1152" t="str">
        <f>IF(Futterberechnung!G22="","",Futterberechnung!G22)</f>
        <v/>
      </c>
      <c r="F24" s="1185" t="str">
        <f>IF(Futterberechnung!H22="","",Futterberechnung!H22)</f>
        <v xml:space="preserve"> </v>
      </c>
      <c r="H24" s="1175" t="s">
        <v>711</v>
      </c>
      <c r="I24" s="1216" t="s">
        <v>36</v>
      </c>
      <c r="J24" s="1192">
        <f>IF(Futterberechnung!$Q$30="","",Futterberechnung!$Q$30)</f>
        <v>5.851309650000001</v>
      </c>
      <c r="K24" s="1181">
        <f>IF(Futterberechnung!$Q$31="","",Futterberechnung!$Q$31)</f>
        <v>5.8</v>
      </c>
      <c r="L24" s="1173">
        <f>IF(Futterberechnung!$Q$33="","",Futterberechnung!$Q$33)</f>
        <v>5.6</v>
      </c>
      <c r="M24" s="1167">
        <f>IF(Futterberechnung!$Q$34="","",Futterberechnung!$Q$34)</f>
        <v>0.2</v>
      </c>
    </row>
    <row r="25" spans="2:13" ht="13">
      <c r="B25" s="1150" t="str">
        <f>IF(Futterberechnung!C23="","",Futterberechnung!C23)</f>
        <v/>
      </c>
      <c r="C25" s="1151" t="str">
        <f>IF(Futterberechnung!E23="","",Futterberechnung!E23)</f>
        <v/>
      </c>
      <c r="D25" s="1152" t="str">
        <f>IF(Futterberechnung!F23="","",Futterberechnung!F23)</f>
        <v/>
      </c>
      <c r="E25" s="1152" t="str">
        <f>IF(Futterberechnung!G23="","",Futterberechnung!G23)</f>
        <v/>
      </c>
      <c r="F25" s="1185" t="str">
        <f>IF(Futterberechnung!H23="","",Futterberechnung!H23)</f>
        <v xml:space="preserve"> </v>
      </c>
      <c r="H25" s="1175" t="s">
        <v>796</v>
      </c>
      <c r="I25" s="1216" t="s">
        <v>36</v>
      </c>
      <c r="J25" s="1192">
        <f>IF(Futterberechnung!$R$30="","",Futterberechnung!$R$30)</f>
        <v>5.1209117332402165</v>
      </c>
      <c r="K25" s="1181">
        <f>IF(Futterberechnung!$R$31="","",Futterberechnung!$R$31)</f>
        <v>5.0999999999999996</v>
      </c>
      <c r="L25" s="1173">
        <f>IF(Futterberechnung!$R$33="","",Futterberechnung!$R$33)</f>
        <v>4.9000000000000004</v>
      </c>
      <c r="M25" s="1167">
        <f>IF(Futterberechnung!$R$34="","",Futterberechnung!$R$34)</f>
        <v>0.2</v>
      </c>
    </row>
    <row r="26" spans="2:13" ht="13">
      <c r="B26" s="1153" t="str">
        <f>IF(Futterberechnung!C24="","",Futterberechnung!C24)</f>
        <v xml:space="preserve">Ergänzungsfutter </v>
      </c>
      <c r="C26" s="1151" t="str">
        <f>IF(Futterberechnung!E24="","",Futterberechnung!E24)</f>
        <v/>
      </c>
      <c r="D26" s="1152" t="str">
        <f>IF(Futterberechnung!F24="","",Futterberechnung!F24)</f>
        <v/>
      </c>
      <c r="E26" s="1152" t="str">
        <f>IF(Futterberechnung!G24="","",Futterberechnung!G24)</f>
        <v/>
      </c>
      <c r="F26" s="1185" t="str">
        <f>IF(Futterberechnung!H24="","",Futterberechnung!H24)</f>
        <v/>
      </c>
      <c r="H26" s="1175" t="s">
        <v>17</v>
      </c>
      <c r="I26" s="1216" t="s">
        <v>36</v>
      </c>
      <c r="J26" s="1192">
        <f>IF(Futterberechnung!$S$30="","",Futterberechnung!$S$30)</f>
        <v>6.6797887136363627</v>
      </c>
      <c r="K26" s="1181">
        <f>IF(Futterberechnung!$S$31="","",Futterberechnung!$S$31)</f>
        <v>6.6</v>
      </c>
      <c r="L26" s="1173">
        <f>IF(Futterberechnung!$S$33="","",Futterberechnung!$S$33)</f>
        <v>6.6</v>
      </c>
      <c r="M26" s="1167">
        <f>IF(Futterberechnung!$S$34="","",Futterberechnung!$S$34)</f>
        <v>0</v>
      </c>
    </row>
    <row r="27" spans="2:13" ht="13">
      <c r="B27" s="1150" t="str">
        <f>IF(Futterberechnung!C25="","",Futterberechnung!C25)</f>
        <v/>
      </c>
      <c r="C27" s="1151" t="str">
        <f>IF(Futterberechnung!E25="","",Futterberechnung!E25)</f>
        <v/>
      </c>
      <c r="D27" s="1152" t="str">
        <f>IF(Futterberechnung!F25="","",Futterberechnung!F25)</f>
        <v/>
      </c>
      <c r="E27" s="1152" t="str">
        <f>IF(Futterberechnung!G25="","",Futterberechnung!G25)</f>
        <v/>
      </c>
      <c r="F27" s="1185" t="str">
        <f>IF(Futterberechnung!H25="","",Futterberechnung!H25)</f>
        <v xml:space="preserve"> </v>
      </c>
      <c r="H27" s="1175" t="s">
        <v>244</v>
      </c>
      <c r="I27" s="1216" t="s">
        <v>36</v>
      </c>
      <c r="J27" s="1192">
        <f>IF(Futterberechnung!$T$30="","",Futterberechnung!$T$30)</f>
        <v>5.8805039737272722</v>
      </c>
      <c r="K27" s="1181">
        <f>IF(Futterberechnung!$T$31="","",Futterberechnung!$T$31)</f>
        <v>5.8</v>
      </c>
      <c r="L27" s="1173">
        <f>IF(Futterberechnung!$T$33="","",Futterberechnung!$T$33)</f>
        <v>5.8</v>
      </c>
      <c r="M27" s="1167">
        <f>IF(Futterberechnung!$T$34="","",Futterberechnung!$T$34)</f>
        <v>0</v>
      </c>
    </row>
    <row r="28" spans="2:13" ht="13">
      <c r="B28" s="1150" t="str">
        <f>IF(Futterberechnung!C26="","",Futterberechnung!C26)</f>
        <v/>
      </c>
      <c r="C28" s="1151" t="str">
        <f>IF(Futterberechnung!E26="","",Futterberechnung!E26)</f>
        <v/>
      </c>
      <c r="D28" s="1152" t="str">
        <f>IF(Futterberechnung!F26="","",Futterberechnung!F26)</f>
        <v/>
      </c>
      <c r="E28" s="1152" t="str">
        <f>IF(Futterberechnung!G26="","",Futterberechnung!G26)</f>
        <v/>
      </c>
      <c r="F28" s="1185" t="str">
        <f>IF(Futterberechnung!H26="","",Futterberechnung!H26)</f>
        <v xml:space="preserve"> </v>
      </c>
      <c r="H28" s="1175" t="s">
        <v>330</v>
      </c>
      <c r="I28" s="1216" t="s">
        <v>36</v>
      </c>
      <c r="J28" s="1192">
        <f>IF(Futterberechnung!$U$30="","",Futterberechnung!$U$30)</f>
        <v>2.109185077272727</v>
      </c>
      <c r="K28" s="1181">
        <f>IF(Futterberechnung!$U$31="","",Futterberechnung!$U$31)</f>
        <v>2.1</v>
      </c>
      <c r="L28" s="1173">
        <f>IF(Futterberechnung!$U$33="","",Futterberechnung!$U$33)</f>
        <v>1.8</v>
      </c>
      <c r="M28" s="1167">
        <f>IF(Futterberechnung!$U$34="","",Futterberechnung!$U$34)</f>
        <v>0.3</v>
      </c>
    </row>
    <row r="29" spans="2:13" ht="13">
      <c r="B29" s="1153" t="str">
        <f>IF(Futterberechnung!C27="","",Futterberechnung!C27)</f>
        <v>Mineralfutter</v>
      </c>
      <c r="C29" s="1151" t="str">
        <f>IF(Futterberechnung!E27="","",Futterberechnung!E27)</f>
        <v/>
      </c>
      <c r="D29" s="1152" t="str">
        <f>IF(Futterberechnung!F27="","",Futterberechnung!F27)</f>
        <v/>
      </c>
      <c r="E29" s="1152" t="str">
        <f>IF(Futterberechnung!G27="","",Futterberechnung!G27)</f>
        <v/>
      </c>
      <c r="F29" s="1185" t="str">
        <f>IF(Futterberechnung!H27="","",Futterberechnung!H27)</f>
        <v/>
      </c>
      <c r="H29" s="1175" t="s">
        <v>366</v>
      </c>
      <c r="I29" s="1216" t="s">
        <v>36</v>
      </c>
      <c r="J29" s="1192">
        <f>IF(Futterberechnung!$V$30="","",Futterberechnung!$V$30)</f>
        <v>1.7910786464545452</v>
      </c>
      <c r="K29" s="1181">
        <f>IF(Futterberechnung!$V$31="","",Futterberechnung!$V$31)</f>
        <v>1.8</v>
      </c>
      <c r="L29" s="1173">
        <f>IF(Futterberechnung!$V$33="","",Futterberechnung!$V$33)</f>
        <v>1.6</v>
      </c>
      <c r="M29" s="1167">
        <f>IF(Futterberechnung!$V$34="","",Futterberechnung!$V$34)</f>
        <v>0.2</v>
      </c>
    </row>
    <row r="30" spans="2:13" ht="13">
      <c r="B30" s="1150" t="str">
        <f>IF(Futterberechnung!C28="","",Futterberechnung!C28)</f>
        <v>Optimales MinFu AM 850g TZ 3,5% + Phytase</v>
      </c>
      <c r="C30" s="1151">
        <f>IF(Futterberechnung!E28="","",Futterberechnung!E28)</f>
        <v>81</v>
      </c>
      <c r="D30" s="1152">
        <f>IF(Futterberechnung!F28="","",Futterberechnung!F28)</f>
        <v>3.5000000000000003E-2</v>
      </c>
      <c r="E30" s="1152">
        <f>IF(Futterberechnung!G28="","",Futterberechnung!G28)</f>
        <v>3.7942950064367501E-2</v>
      </c>
      <c r="F30" s="1185">
        <f>IF(Futterberechnung!H28="","",Futterberechnung!H28)</f>
        <v>35</v>
      </c>
      <c r="H30" s="1175" t="s">
        <v>9</v>
      </c>
      <c r="I30" s="1216" t="s">
        <v>36</v>
      </c>
      <c r="J30" s="1191">
        <f>IF(Futterberechnung!$L$30="","",Futterberechnung!$L$30)</f>
        <v>36.916000000000004</v>
      </c>
      <c r="K30" s="1177">
        <f>IF(Futterberechnung!$L$31="","",Futterberechnung!$L$31)</f>
        <v>37</v>
      </c>
      <c r="L30" s="1171">
        <f>IF(Futterberechnung!$L$33="","",Futterberechnung!$L$33)</f>
        <v>40</v>
      </c>
      <c r="M30" s="1169">
        <f>IF(Futterberechnung!$L$34="","",Futterberechnung!$L$34)</f>
        <v>-3</v>
      </c>
    </row>
    <row r="31" spans="2:13" ht="14" thickBot="1">
      <c r="B31" s="1159" t="str">
        <f>IF(Futterberechnung!C29="","",Futterberechnung!C29)</f>
        <v/>
      </c>
      <c r="C31" s="1160" t="str">
        <f>IF(Futterberechnung!E29="","",Futterberechnung!E29)</f>
        <v/>
      </c>
      <c r="D31" s="1161" t="str">
        <f>IF(Futterberechnung!F29="","",Futterberechnung!F29)</f>
        <v/>
      </c>
      <c r="E31" s="1161" t="str">
        <f>IF(Futterberechnung!G29="","",Futterberechnung!G29)</f>
        <v/>
      </c>
      <c r="F31" s="1186" t="str">
        <f>IF(Futterberechnung!H29="","",Futterberechnung!H29)</f>
        <v xml:space="preserve"> </v>
      </c>
      <c r="H31" s="1175" t="s">
        <v>1074</v>
      </c>
      <c r="I31" s="1216" t="s">
        <v>36</v>
      </c>
      <c r="J31" s="1191">
        <f>IF(Futterberechnung!$V$63="","",Futterberechnung!$V$63)</f>
        <v>209.96706889386479</v>
      </c>
      <c r="K31" s="1177">
        <f>IF(Futterberechnung!$V$64="","",Futterberechnung!$V$64)</f>
        <v>208.7</v>
      </c>
      <c r="L31" s="1565">
        <f>IF(Futterberechnung!$V$66=0,"",Futterberechnung!$V$66)</f>
        <v>120</v>
      </c>
      <c r="M31" s="1169">
        <f>IF($L$31="","",Futterberechnung!$V$67)</f>
        <v>89</v>
      </c>
    </row>
    <row r="32" spans="2:13" ht="13">
      <c r="B32" s="1162" t="s">
        <v>723</v>
      </c>
      <c r="C32" s="1163">
        <f>IF(Futterberechnung!E30="","",Futterberechnung!E30)</f>
        <v>19.0427</v>
      </c>
      <c r="D32" s="1164">
        <f>IF(Futterberechnung!F30="","",Futterberechnung!F30)</f>
        <v>1</v>
      </c>
      <c r="E32" s="1469"/>
      <c r="F32" s="1187">
        <f>IF(F15="","",SUM(F15:F31))</f>
        <v>1000</v>
      </c>
      <c r="H32" s="1175" t="s">
        <v>1075</v>
      </c>
      <c r="I32" s="1216" t="s">
        <v>36</v>
      </c>
      <c r="J32" s="1191">
        <f>IF(Futterberechnung!$W$63="","",Futterberechnung!$W$63)</f>
        <v>46.673775598348008</v>
      </c>
      <c r="K32" s="1177">
        <f>IF(Futterberechnung!$W$64="","",Futterberechnung!$W$64)</f>
        <v>46.4</v>
      </c>
      <c r="L32" s="1566">
        <f>IF(Futterberechnung!$W$66=0,"",Futterberechnung!$W$66)</f>
        <v>70</v>
      </c>
      <c r="M32" s="1567">
        <f>IF($L$32="","",Futterberechnung!$W$67)</f>
        <v>-23.6</v>
      </c>
    </row>
    <row r="33" spans="2:13" ht="14" thickBot="1">
      <c r="B33" s="1154" t="s">
        <v>707</v>
      </c>
      <c r="C33" s="1155">
        <f>IF(Futterberechnung!E31="","",Futterberechnung!E31)</f>
        <v>18.923567540709623</v>
      </c>
      <c r="D33" s="1156"/>
      <c r="E33" s="1470"/>
      <c r="F33" s="1188" t="str">
        <f>IF(Futterberechnung!H31="","",Futterberechnung!H31)</f>
        <v/>
      </c>
      <c r="H33" s="1175" t="s">
        <v>618</v>
      </c>
      <c r="I33" s="1216" t="s">
        <v>36</v>
      </c>
      <c r="J33" s="1191">
        <f>IF(Futterberechnung!$U$63="","",Futterberechnung!$U$63)</f>
        <v>69.560340000000039</v>
      </c>
      <c r="K33" s="1177">
        <f>IF(Futterberechnung!$U$64="","",Futterberechnung!$U$64)</f>
        <v>69.099999999999994</v>
      </c>
      <c r="L33" s="1565" t="str">
        <f>IF(Futterberechnung!$U$66=0,"",Futterberechnung!$U$66)</f>
        <v/>
      </c>
      <c r="M33" s="1169" t="str">
        <f>IF($L$33="","",Futterberechnung!$U$67)</f>
        <v/>
      </c>
    </row>
    <row r="34" spans="2:13" ht="13">
      <c r="H34" s="1201" t="s">
        <v>18</v>
      </c>
      <c r="I34" s="1216" t="s">
        <v>36</v>
      </c>
      <c r="J34" s="1192">
        <f>IF(Futterberechnung!$W$30="","",Futterberechnung!$W$30)</f>
        <v>6.0532699997978723</v>
      </c>
      <c r="K34" s="1180">
        <f>IF(Futterberechnung!$W$31="","",Futterberechnung!$W$31)</f>
        <v>6</v>
      </c>
      <c r="L34" s="1196">
        <f>IF(Futterberechnung!$W$33="","",Futterberechnung!$W$33)</f>
        <v>5.9</v>
      </c>
      <c r="M34" s="1197">
        <f>IF(Futterberechnung!$W$34="","",Futterberechnung!$W$34)</f>
        <v>0.1</v>
      </c>
    </row>
    <row r="35" spans="2:13" ht="13">
      <c r="H35" s="1175" t="s">
        <v>19</v>
      </c>
      <c r="I35" s="1216" t="s">
        <v>36</v>
      </c>
      <c r="J35" s="1192">
        <f>IF(Futterberechnung!$X$30="","",Futterberechnung!$X$30)</f>
        <v>4.096218708289598</v>
      </c>
      <c r="K35" s="1181">
        <f>IF(Futterberechnung!$X$31="","",Futterberechnung!$X$31)</f>
        <v>4.0999999999999996</v>
      </c>
      <c r="L35" s="1173">
        <f>IF(Futterberechnung!$X$33="","",Futterberechnung!$X$33)</f>
        <v>4.4000000000000004</v>
      </c>
      <c r="M35" s="1167">
        <f>IF(Futterberechnung!$X$34="","",Futterberechnung!$X$34)</f>
        <v>-0.3</v>
      </c>
    </row>
    <row r="36" spans="2:13" ht="13">
      <c r="H36" s="1202" t="s">
        <v>713</v>
      </c>
      <c r="I36" s="1216" t="s">
        <v>36</v>
      </c>
      <c r="J36" s="1192">
        <f>IF(Futterberechnung!$Y$30="","",Futterberechnung!$Y$30)</f>
        <v>2.1712507017066436</v>
      </c>
      <c r="K36" s="1181">
        <f>IF(Futterberechnung!$Y$31="","",Futterberechnung!$Y$31)</f>
        <v>2.2000000000000002</v>
      </c>
      <c r="L36" s="1173">
        <f>IF(Futterberechnung!$Y$33="","",Futterberechnung!$Y$33)</f>
        <v>2.7</v>
      </c>
      <c r="M36" s="1167">
        <f>IF(Futterberechnung!$Y$34="","",Futterberechnung!$Y$34)</f>
        <v>-0.5</v>
      </c>
    </row>
    <row r="37" spans="2:13" ht="13">
      <c r="H37" s="1176" t="s">
        <v>714</v>
      </c>
      <c r="I37" s="1216" t="s">
        <v>36</v>
      </c>
      <c r="J37" s="1192">
        <f>IF(Futterberechnung!$Z$30="","",Futterberechnung!$Z$30)</f>
        <v>2.7150421603882391</v>
      </c>
      <c r="K37" s="1180">
        <f>IF(Futterberechnung!$Z$31="","",Futterberechnung!$Z$31)</f>
        <v>2.7</v>
      </c>
      <c r="L37" s="1196">
        <f>IF(Futterberechnung!$Z$33="","",Futterberechnung!$Z$33)</f>
        <v>2.7</v>
      </c>
      <c r="M37" s="1197">
        <f>IF(Futterberechnung!$Z$34="","",Futterberechnung!$Z$34)</f>
        <v>0</v>
      </c>
    </row>
    <row r="38" spans="2:13" ht="14.25" customHeight="1">
      <c r="H38" s="1175" t="s">
        <v>22</v>
      </c>
      <c r="I38" s="1216" t="s">
        <v>36</v>
      </c>
      <c r="J38" s="1192">
        <f>IF(Futterberechnung!$AB$30="","",Futterberechnung!$AB$30)</f>
        <v>1.92269325862069</v>
      </c>
      <c r="K38" s="1181">
        <f>IF(Futterberechnung!$AB$31="","",Futterberechnung!$AB$31)</f>
        <v>1.9</v>
      </c>
      <c r="L38" s="1173">
        <f>IF(Futterberechnung!$AB$33="","",Futterberechnung!$AB$33)</f>
        <v>1.8</v>
      </c>
      <c r="M38" s="1167">
        <f>IF(Futterberechnung!$AB$34="","",Futterberechnung!$AB$34)</f>
        <v>0.1</v>
      </c>
    </row>
    <row r="39" spans="2:13" ht="13">
      <c r="H39" s="1175" t="s">
        <v>21</v>
      </c>
      <c r="I39" s="1216" t="s">
        <v>36</v>
      </c>
      <c r="J39" s="1192">
        <f>IF(Futterberechnung!$AA$30="","",Futterberechnung!$AA$30)</f>
        <v>1.320918042651015</v>
      </c>
      <c r="K39" s="1181">
        <f>IF(Futterberechnung!$AA$31="","",Futterberechnung!$AA$31)</f>
        <v>1.3</v>
      </c>
      <c r="L39" s="1173">
        <f>IF(Futterberechnung!$AA$33="","",Futterberechnung!$AA$33)</f>
        <v>1</v>
      </c>
      <c r="M39" s="1167">
        <f>IF(Futterberechnung!$AA$34="","",Futterberechnung!$AA$34)</f>
        <v>0.3</v>
      </c>
    </row>
    <row r="40" spans="2:13" ht="14.25" customHeight="1">
      <c r="H40" s="1175" t="s">
        <v>794</v>
      </c>
      <c r="I40" s="1216" t="s">
        <v>36</v>
      </c>
      <c r="J40" s="1192">
        <f>IF(Futterberechnung!$M$63="","",Futterberechnung!$M$63)</f>
        <v>14.336589655172414</v>
      </c>
      <c r="K40" s="1181">
        <f>IF(Futterberechnung!$M$64="","",Futterberechnung!$M$64)</f>
        <v>14.2</v>
      </c>
      <c r="L40" s="1566">
        <f>IF(Futterberechnung!$M$66="","",Futterberechnung!$M$66)</f>
        <v>17.7</v>
      </c>
      <c r="M40" s="1284">
        <f>IF(Futterberechnung!$M$67="","",Futterberechnung!$M$67)</f>
        <v>-3.5</v>
      </c>
    </row>
    <row r="41" spans="2:13" ht="13">
      <c r="H41" s="1175" t="s">
        <v>726</v>
      </c>
      <c r="I41" s="1216" t="s">
        <v>534</v>
      </c>
      <c r="J41" s="1191">
        <f>IF(Futterberechnung!$P$63="","",Futterberechnung!$P$63)</f>
        <v>6055.0000000000009</v>
      </c>
      <c r="K41" s="1177">
        <f>IF(Futterberechnung!$P$64="","",Futterberechnung!$P$64)</f>
        <v>6017</v>
      </c>
      <c r="L41" s="1171">
        <f>IF(Futterberechnung!$P$66="","",Futterberechnung!$P$66)</f>
        <v>6000</v>
      </c>
      <c r="M41" s="1169">
        <f>IF(Futterberechnung!$P$67="","",Futterberechnung!$P$67)</f>
        <v>17</v>
      </c>
    </row>
    <row r="42" spans="2:13" ht="13">
      <c r="H42" s="1175" t="s">
        <v>727</v>
      </c>
      <c r="I42" s="1216" t="s">
        <v>534</v>
      </c>
      <c r="J42" s="1191">
        <f>IF(Futterberechnung!$Q$63="","",Futterberechnung!$Q$63)</f>
        <v>1513.7500000000002</v>
      </c>
      <c r="K42" s="1177">
        <f>IF(Futterberechnung!$Q$64="","",Futterberechnung!$Q$64)</f>
        <v>1504</v>
      </c>
      <c r="L42" s="1171">
        <f>IF(Futterberechnung!$Q$66="","",Futterberechnung!$Q$66)</f>
        <v>1500</v>
      </c>
      <c r="M42" s="1169">
        <f>IF(Futterberechnung!$Q$67="","",Futterberechnung!$Q$67)</f>
        <v>4</v>
      </c>
    </row>
    <row r="43" spans="2:13" ht="14" thickBot="1">
      <c r="H43" s="1200" t="s">
        <v>728</v>
      </c>
      <c r="I43" s="1217" t="s">
        <v>377</v>
      </c>
      <c r="J43" s="1203">
        <f>IF(Futterberechnung!$R$63="","",Futterberechnung!$R$63)</f>
        <v>61.250000000000007</v>
      </c>
      <c r="K43" s="1204">
        <f>IF(Futterberechnung!$R$64="","",Futterberechnung!$R$64)</f>
        <v>61</v>
      </c>
      <c r="L43" s="1413">
        <f>IF(Futterberechnung!$R$66="","",Futterberechnung!$R$66)</f>
        <v>60</v>
      </c>
      <c r="M43" s="1207">
        <f>IF(Futterberechnung!$R$67="","",Futterberechnung!$R$67)</f>
        <v>1</v>
      </c>
    </row>
    <row r="44" spans="2:13" ht="5" customHeight="1" thickBot="1">
      <c r="H44" s="1211"/>
      <c r="I44" s="1218"/>
      <c r="J44" s="1212"/>
      <c r="K44" s="1213"/>
      <c r="L44" s="1214"/>
      <c r="M44" s="1215"/>
    </row>
    <row r="45" spans="2:13" ht="13">
      <c r="B45" s="1399" t="s">
        <v>795</v>
      </c>
      <c r="C45" s="1400" t="s">
        <v>797</v>
      </c>
      <c r="D45" s="1400" t="s">
        <v>244</v>
      </c>
      <c r="E45" s="1401" t="s">
        <v>366</v>
      </c>
      <c r="F45" s="1509"/>
      <c r="H45" s="1202" t="s">
        <v>729</v>
      </c>
      <c r="I45" s="1219" t="s">
        <v>805</v>
      </c>
      <c r="J45" s="1205">
        <f t="shared" ref="J45:J50" si="0">IF(K45="","",K45)</f>
        <v>1.4777702146488787</v>
      </c>
      <c r="K45" s="1206">
        <f>IF(Futterberechnung!$T$40="","",Futterberechnung!$T$40)</f>
        <v>1.4777702146488787</v>
      </c>
      <c r="L45" s="1208">
        <f>IF(Futterberechnung!$T$41="","",Futterberechnung!$T$41)</f>
        <v>1.35</v>
      </c>
      <c r="M45" s="1209">
        <f t="shared" ref="M45:M50" si="1">IF(K45="","",K45-L45)</f>
        <v>0.12777021464887861</v>
      </c>
    </row>
    <row r="46" spans="2:13" ht="13">
      <c r="B46" s="1402" t="s">
        <v>798</v>
      </c>
      <c r="C46" s="1403">
        <f>IF(Futterberechnung!N40="","",Futterberechnung!N40)</f>
        <v>0.56511354022240767</v>
      </c>
      <c r="D46" s="1403">
        <f>IF(Futterberechnung!P40="","",Futterberechnung!P40)</f>
        <v>0.64893764860544789</v>
      </c>
      <c r="E46" s="1404">
        <f>IF(Futterberechnung!R40="","",Futterberechnung!R40)</f>
        <v>0.1976528492269575</v>
      </c>
      <c r="F46" s="1510"/>
      <c r="H46" s="1175" t="s">
        <v>730</v>
      </c>
      <c r="I46" s="1219" t="s">
        <v>805</v>
      </c>
      <c r="J46" s="1190">
        <f t="shared" si="0"/>
        <v>2.7879185001713016</v>
      </c>
      <c r="K46" s="1179">
        <f>IF(Futterberechnung!$X$40="","",Futterberechnung!$X$40)</f>
        <v>2.7879185001713016</v>
      </c>
      <c r="L46" s="1172">
        <f>IF(Futterberechnung!$X$41="","",Futterberechnung!$X$41)</f>
        <v>2.2000000000000002</v>
      </c>
      <c r="M46" s="1182">
        <f t="shared" si="1"/>
        <v>0.58791850017130143</v>
      </c>
    </row>
    <row r="47" spans="2:13" ht="13">
      <c r="B47" s="1414" t="s">
        <v>799</v>
      </c>
      <c r="C47" s="1415">
        <f>IF(Futterberechnung!N41="","",Futterberechnung!N41)</f>
        <v>0.55000000000000004</v>
      </c>
      <c r="D47" s="1415">
        <f>IF(Futterberechnung!P41="","",Futterberechnung!P41)</f>
        <v>0.65</v>
      </c>
      <c r="E47" s="1416">
        <f>IF(Futterberechnung!R41="","",Futterberechnung!R41)</f>
        <v>0.18</v>
      </c>
      <c r="F47" s="1511"/>
      <c r="H47" s="1176" t="s">
        <v>731</v>
      </c>
      <c r="I47" s="1287" t="s">
        <v>805</v>
      </c>
      <c r="J47" s="1190">
        <f t="shared" si="0"/>
        <v>2.2295307557700252</v>
      </c>
      <c r="K47" s="1178">
        <f>IF(Futterberechnung!$X$39="","",Futterberechnung!$X$39)</f>
        <v>2.2295307557700252</v>
      </c>
      <c r="L47" s="1195">
        <f>IF(Futterberechnung!$X$41="","",Futterberechnung!$X$41)</f>
        <v>2.2000000000000002</v>
      </c>
      <c r="M47" s="1285">
        <f t="shared" si="1"/>
        <v>2.9530755770025063E-2</v>
      </c>
    </row>
    <row r="48" spans="2:13" ht="16" thickBot="1">
      <c r="B48" s="1405" t="s">
        <v>710</v>
      </c>
      <c r="C48" s="1406">
        <f>IF(C46="","",C46-C47)</f>
        <v>1.5113540222407629E-2</v>
      </c>
      <c r="D48" s="1406">
        <f>IF(D46="","",D46-D47)</f>
        <v>-1.0623513945521301E-3</v>
      </c>
      <c r="E48" s="1407">
        <f>IF(E46="","",E46-E47)</f>
        <v>1.7652849226957507E-2</v>
      </c>
      <c r="F48" s="1511"/>
      <c r="H48" s="1176" t="s">
        <v>806</v>
      </c>
      <c r="I48" s="1219" t="s">
        <v>807</v>
      </c>
      <c r="J48" s="1190">
        <f t="shared" si="0"/>
        <v>0.76573161485974228</v>
      </c>
      <c r="K48" s="1178">
        <f>IF(Futterberechnung!$F$40="","",Futterberechnung!$F$40)</f>
        <v>0.76573161485974228</v>
      </c>
      <c r="L48" s="1195">
        <f>IF(Futterberechnung!$F$41="","",Futterberechnung!$F$41)</f>
        <v>0.77</v>
      </c>
      <c r="M48" s="1286">
        <f t="shared" si="1"/>
        <v>-4.2683851402577355E-3</v>
      </c>
    </row>
    <row r="49" spans="2:13" ht="15">
      <c r="H49" s="1176" t="s">
        <v>809</v>
      </c>
      <c r="I49" s="1287" t="s">
        <v>807</v>
      </c>
      <c r="J49" s="1190">
        <f t="shared" si="0"/>
        <v>0.6823351023502654</v>
      </c>
      <c r="K49" s="1178">
        <f>IF(Futterberechnung!$I$40="","",Futterberechnung!$I$40)</f>
        <v>0.6823351023502654</v>
      </c>
      <c r="L49" s="1195">
        <f>IF(Futterberechnung!$I$41="","",Futterberechnung!$I$41)</f>
        <v>0.68</v>
      </c>
      <c r="M49" s="1286">
        <f t="shared" si="1"/>
        <v>2.3351023502653501E-3</v>
      </c>
    </row>
    <row r="50" spans="2:13" ht="13">
      <c r="H50" s="1175" t="s">
        <v>715</v>
      </c>
      <c r="I50" s="1220" t="s">
        <v>36</v>
      </c>
      <c r="J50" s="1190">
        <f t="shared" si="0"/>
        <v>5.5214723926380369</v>
      </c>
      <c r="K50" s="1179">
        <f>IF(Futterberechnung!$AA$40="","",Futterberechnung!$AA$40)</f>
        <v>5.5214723926380369</v>
      </c>
      <c r="L50" s="1172">
        <f>IF(Futterberechnung!$AA$41="","",Futterberechnung!$AA$41)</f>
        <v>5.46</v>
      </c>
      <c r="M50" s="1168">
        <f t="shared" si="1"/>
        <v>6.1472392638036943E-2</v>
      </c>
    </row>
    <row r="51" spans="2:13" ht="16" thickBot="1">
      <c r="H51" s="1199" t="s">
        <v>808</v>
      </c>
      <c r="I51" s="1222"/>
      <c r="J51" s="1193">
        <f>IF(Futterberechnung!$M$31="","",$C$32/100/Futterberechnung!$M$30*10)</f>
        <v>0.14347997140808047</v>
      </c>
      <c r="K51" s="1194">
        <f>IF(Futterberechnung!$M$31="","",$C$33/100/Futterberechnung!$M$31*10)</f>
        <v>0.14346904883024733</v>
      </c>
      <c r="L51" s="1174"/>
      <c r="M51" s="1170"/>
    </row>
    <row r="52" spans="2:13" ht="5" customHeight="1"/>
    <row r="53" spans="2:13" ht="13" thickBot="1">
      <c r="H53" s="948" t="s">
        <v>716</v>
      </c>
    </row>
    <row r="54" spans="2:13" ht="13" thickBot="1">
      <c r="B54" s="1245" t="s">
        <v>743</v>
      </c>
      <c r="C54" s="1231">
        <f>IF(Futterberechnung!S64="","",Futterberechnung!S64/88*100)</f>
        <v>339.77272727272731</v>
      </c>
    </row>
    <row r="55" spans="2:13" ht="13" thickBot="1">
      <c r="B55" s="1227" t="s">
        <v>732</v>
      </c>
      <c r="C55" s="1232">
        <f>IF(C54="","",6.19+0.0031*C54+3*10^-6*C54^2)</f>
        <v>7.5896319731404969</v>
      </c>
    </row>
    <row r="56" spans="2:13" ht="13" thickBot="1">
      <c r="I56" s="14"/>
      <c r="J56" s="1223"/>
    </row>
    <row r="57" spans="2:13">
      <c r="B57" s="1640" t="s">
        <v>739</v>
      </c>
      <c r="C57" s="1641"/>
      <c r="D57" s="1226" t="s">
        <v>724</v>
      </c>
      <c r="E57" s="1471"/>
      <c r="I57" s="14"/>
      <c r="J57" s="1223"/>
    </row>
    <row r="58" spans="2:13" ht="13" thickBot="1">
      <c r="B58" s="1242" t="s">
        <v>734</v>
      </c>
      <c r="C58" s="1225" t="s">
        <v>733</v>
      </c>
      <c r="D58" s="1224"/>
      <c r="E58" s="1472"/>
      <c r="I58" s="14"/>
      <c r="J58" s="1223"/>
    </row>
    <row r="59" spans="2:13">
      <c r="B59" s="1239">
        <v>500</v>
      </c>
      <c r="C59" s="1230">
        <f>B59*0.88</f>
        <v>440</v>
      </c>
      <c r="D59" s="1236">
        <v>8.5</v>
      </c>
      <c r="E59" s="1473"/>
      <c r="I59" s="14"/>
      <c r="J59" s="1223"/>
    </row>
    <row r="60" spans="2:13">
      <c r="B60" s="1240">
        <v>400</v>
      </c>
      <c r="C60" s="1228">
        <f t="shared" ref="C60:C67" si="2">B60*0.88</f>
        <v>352</v>
      </c>
      <c r="D60" s="1237">
        <v>7.9</v>
      </c>
      <c r="E60" s="1473"/>
      <c r="I60" s="14"/>
      <c r="J60" s="1223"/>
    </row>
    <row r="61" spans="2:13">
      <c r="B61" s="1240">
        <v>300</v>
      </c>
      <c r="C61" s="1228">
        <f t="shared" si="2"/>
        <v>264</v>
      </c>
      <c r="D61" s="1237">
        <v>7.4</v>
      </c>
      <c r="E61" s="1473"/>
      <c r="I61" s="14"/>
      <c r="J61" s="1223"/>
    </row>
    <row r="62" spans="2:13">
      <c r="B62" s="1240">
        <v>200</v>
      </c>
      <c r="C62" s="1228">
        <f t="shared" si="2"/>
        <v>176</v>
      </c>
      <c r="D62" s="1237">
        <v>6.9</v>
      </c>
      <c r="E62" s="1473"/>
      <c r="I62" s="14"/>
      <c r="J62" s="1223"/>
    </row>
    <row r="63" spans="2:13">
      <c r="B63" s="1240">
        <v>100</v>
      </c>
      <c r="C63" s="1228">
        <f t="shared" si="2"/>
        <v>88</v>
      </c>
      <c r="D63" s="1237">
        <v>6.5</v>
      </c>
      <c r="E63" s="1473"/>
      <c r="I63" s="14"/>
      <c r="J63" s="1223"/>
    </row>
    <row r="64" spans="2:13">
      <c r="B64" s="1240">
        <v>0</v>
      </c>
      <c r="C64" s="1228">
        <f t="shared" si="2"/>
        <v>0</v>
      </c>
      <c r="D64" s="1237">
        <v>6.2</v>
      </c>
      <c r="E64" s="1473"/>
      <c r="I64" s="14"/>
      <c r="J64" s="1223"/>
    </row>
    <row r="65" spans="2:10">
      <c r="B65" s="1240">
        <v>-100</v>
      </c>
      <c r="C65" s="1228">
        <f t="shared" si="2"/>
        <v>-88</v>
      </c>
      <c r="D65" s="1237">
        <v>5.9</v>
      </c>
      <c r="E65" s="1473"/>
      <c r="I65" s="14"/>
      <c r="J65" s="1223"/>
    </row>
    <row r="66" spans="2:10">
      <c r="B66" s="1240">
        <v>-200</v>
      </c>
      <c r="C66" s="1228">
        <f t="shared" si="2"/>
        <v>-176</v>
      </c>
      <c r="D66" s="1237">
        <v>5.7</v>
      </c>
      <c r="E66" s="1473"/>
    </row>
    <row r="67" spans="2:10" ht="13" thickBot="1">
      <c r="B67" s="1241">
        <v>-400</v>
      </c>
      <c r="C67" s="1229">
        <f t="shared" si="2"/>
        <v>-352</v>
      </c>
      <c r="D67" s="1238">
        <v>5.4</v>
      </c>
      <c r="E67" s="1473"/>
    </row>
  </sheetData>
  <sheetProtection sheet="1" objects="1" scenarios="1" selectLockedCells="1"/>
  <mergeCells count="7">
    <mergeCell ref="C10:G10"/>
    <mergeCell ref="H10:L10"/>
    <mergeCell ref="B57:C57"/>
    <mergeCell ref="H14:K14"/>
    <mergeCell ref="C12:L12"/>
    <mergeCell ref="C11:G11"/>
    <mergeCell ref="H11:M11"/>
  </mergeCells>
  <conditionalFormatting sqref="H48:H49">
    <cfRule type="cellIs" dxfId="82" priority="14" operator="lessThan">
      <formula>-0.25</formula>
    </cfRule>
  </conditionalFormatting>
  <conditionalFormatting sqref="M45:M47">
    <cfRule type="cellIs" dxfId="81" priority="13" operator="lessThan">
      <formula>-0.26</formula>
    </cfRule>
  </conditionalFormatting>
  <conditionalFormatting sqref="C48:F48">
    <cfRule type="cellIs" dxfId="80" priority="12" operator="lessThan">
      <formula>0</formula>
    </cfRule>
  </conditionalFormatting>
  <conditionalFormatting sqref="D48">
    <cfRule type="cellIs" dxfId="79" priority="10" operator="lessThan">
      <formula>0</formula>
    </cfRule>
  </conditionalFormatting>
  <conditionalFormatting sqref="M32">
    <cfRule type="cellIs" dxfId="78" priority="4" operator="greaterThan">
      <formula>0</formula>
    </cfRule>
  </conditionalFormatting>
  <conditionalFormatting sqref="M31">
    <cfRule type="cellIs" dxfId="77" priority="3" operator="lessThan">
      <formula>0</formula>
    </cfRule>
  </conditionalFormatting>
  <conditionalFormatting sqref="M40">
    <cfRule type="cellIs" dxfId="76" priority="2" operator="greaterThan">
      <formula>0</formula>
    </cfRule>
  </conditionalFormatting>
  <printOptions horizontalCentered="1" verticalCentered="1"/>
  <pageMargins left="0" right="0" top="0.59055118110236227" bottom="0" header="0" footer="0"/>
  <pageSetup paperSize="9" scale="71" orientation="landscape"/>
  <headerFooter alignWithMargins="0">
    <oddHeader>&amp;L&amp;"Arial,Fett"&amp;18Landesbetrieb Landwirtschaft Hessen
&amp;16&amp;KC00000Zentrale Kassel&amp;CDipl.-Ing. agr. (FH) Kajo Hollmichel
Kölnische Str. 48-50
34117 Kassel&amp;RTel.: 0561 7299-257
Mobil: 0160 4755166
E-Mail: kajo.hollmichel@llh.hessen.de
Datum: &amp;D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193" r:id="rId3" name="Button 1">
              <controlPr defaultSize="0" print="0" autoFill="0" autoPict="0" macro="[0]!Startseite">
                <anchor moveWithCells="1">
                  <from>
                    <xdr:col>0</xdr:col>
                    <xdr:colOff>88900</xdr:colOff>
                    <xdr:row>1</xdr:row>
                    <xdr:rowOff>12700</xdr:rowOff>
                  </from>
                  <to>
                    <xdr:col>1</xdr:col>
                    <xdr:colOff>1701800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6194" r:id="rId4" name="Button 2">
              <controlPr defaultSize="0" print="0" autoFill="0" autoPict="0" macro="[0]!Futterberechnung">
                <anchor moveWithCells="1">
                  <from>
                    <xdr:col>4</xdr:col>
                    <xdr:colOff>342900</xdr:colOff>
                    <xdr:row>1</xdr:row>
                    <xdr:rowOff>0</xdr:rowOff>
                  </from>
                  <to>
                    <xdr:col>6</xdr:col>
                    <xdr:colOff>520700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6195" r:id="rId5" name="Button 3">
              <controlPr defaultSize="0" print="0" autoFill="0" autoPict="0" macro="[0]!Preiswürdigkeit">
                <anchor moveWithCells="1">
                  <from>
                    <xdr:col>10</xdr:col>
                    <xdr:colOff>596900</xdr:colOff>
                    <xdr:row>1</xdr:row>
                    <xdr:rowOff>12700</xdr:rowOff>
                  </from>
                  <to>
                    <xdr:col>13</xdr:col>
                    <xdr:colOff>12700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tabColor rgb="FFFF0000"/>
    <pageSetUpPr fitToPage="1"/>
  </sheetPr>
  <dimension ref="A1:AT67"/>
  <sheetViews>
    <sheetView showGridLines="0" showRowColHeaders="0" zoomScale="82" zoomScaleNormal="82" zoomScalePageLayoutView="82" workbookViewId="0">
      <selection activeCell="C20" sqref="C20:D20"/>
    </sheetView>
  </sheetViews>
  <sheetFormatPr baseColWidth="10" defaultRowHeight="12" x14ac:dyDescent="0"/>
  <cols>
    <col min="1" max="1" width="1" style="99" customWidth="1"/>
    <col min="2" max="2" width="9.1640625" style="99" customWidth="1"/>
    <col min="3" max="3" width="32.33203125" style="99" customWidth="1"/>
    <col min="4" max="4" width="8.83203125" style="99" customWidth="1"/>
    <col min="5" max="7" width="9.6640625" style="99" customWidth="1"/>
    <col min="8" max="28" width="6.83203125" style="99" customWidth="1"/>
    <col min="29" max="16384" width="10.83203125" style="99"/>
  </cols>
  <sheetData>
    <row r="1" spans="2:29" ht="5.25" customHeight="1"/>
    <row r="2" spans="2:29" ht="24" customHeight="1"/>
    <row r="3" spans="2:29" ht="3.75" customHeight="1">
      <c r="Z3" s="1719" t="s">
        <v>1122</v>
      </c>
      <c r="AA3" s="1637"/>
      <c r="AB3" s="1637"/>
      <c r="AC3" s="1637"/>
    </row>
    <row r="4" spans="2:29" ht="12" customHeight="1">
      <c r="C4" s="1703" t="s">
        <v>81</v>
      </c>
      <c r="D4" s="1703"/>
      <c r="E4" s="232"/>
      <c r="F4" s="232"/>
      <c r="G4" s="232"/>
      <c r="H4" s="232"/>
      <c r="I4" s="232"/>
      <c r="J4" s="232"/>
      <c r="Z4" s="1637"/>
      <c r="AA4" s="1637"/>
      <c r="AB4" s="1637"/>
      <c r="AC4" s="1637"/>
    </row>
    <row r="5" spans="2:29" ht="19" customHeight="1">
      <c r="C5" s="232" t="s">
        <v>1</v>
      </c>
      <c r="E5" s="827" t="s">
        <v>3</v>
      </c>
      <c r="F5" s="828"/>
      <c r="G5" s="828"/>
      <c r="H5" s="1720" t="s">
        <v>717</v>
      </c>
      <c r="I5" s="1721"/>
      <c r="J5" s="1721"/>
      <c r="K5" s="1721"/>
      <c r="L5" s="1721"/>
      <c r="M5" s="1721"/>
      <c r="N5" s="1721"/>
      <c r="O5" s="1721"/>
      <c r="P5" s="1721"/>
      <c r="Q5" s="1721"/>
      <c r="R5" s="1721"/>
      <c r="S5" s="828"/>
      <c r="U5" s="829"/>
      <c r="V5" s="829"/>
      <c r="W5" s="829"/>
      <c r="X5" s="829" t="s">
        <v>5</v>
      </c>
      <c r="Y5" s="828"/>
      <c r="Z5" s="1717">
        <f ca="1">TODAY()</f>
        <v>42681</v>
      </c>
      <c r="AA5" s="1637"/>
      <c r="AB5" s="1637"/>
      <c r="AC5" s="1637"/>
    </row>
    <row r="6" spans="2:29" ht="19" customHeight="1">
      <c r="E6" s="827" t="s">
        <v>2</v>
      </c>
      <c r="F6" s="828"/>
      <c r="G6" s="828"/>
      <c r="H6" s="1720" t="s">
        <v>334</v>
      </c>
      <c r="I6" s="1721"/>
      <c r="J6" s="1721"/>
      <c r="K6" s="1721"/>
      <c r="L6" s="1721"/>
      <c r="M6" s="1721"/>
      <c r="N6" s="1721"/>
      <c r="O6" s="1721"/>
      <c r="P6" s="1721"/>
      <c r="Q6" s="1721"/>
      <c r="R6" s="1721"/>
      <c r="S6" s="871"/>
      <c r="U6" s="827"/>
      <c r="V6" s="827"/>
      <c r="W6" s="827"/>
      <c r="X6" s="827" t="s">
        <v>6</v>
      </c>
      <c r="Y6" s="828"/>
      <c r="Z6" s="1716" t="s">
        <v>225</v>
      </c>
      <c r="AA6" s="1637"/>
      <c r="AB6" s="1637"/>
      <c r="AC6" s="1637"/>
    </row>
    <row r="7" spans="2:29" ht="19" customHeight="1" thickBot="1">
      <c r="E7" s="827" t="s">
        <v>4</v>
      </c>
      <c r="F7" s="828"/>
      <c r="G7" s="828"/>
      <c r="H7" s="1713" t="str">
        <f>C33&amp;" "</f>
        <v xml:space="preserve">Anfangsmast ab 40 Kg LM für 850 g TZ* </v>
      </c>
      <c r="I7" s="1714"/>
      <c r="J7" s="1714"/>
      <c r="K7" s="1714"/>
      <c r="L7" s="1714"/>
      <c r="M7" s="1714"/>
      <c r="N7" s="1714"/>
      <c r="O7" s="1715"/>
      <c r="P7" s="1704" t="s">
        <v>862</v>
      </c>
      <c r="Q7" s="1704"/>
      <c r="R7" s="1704"/>
      <c r="S7" s="1704"/>
      <c r="T7" s="1705"/>
      <c r="U7" s="1705"/>
      <c r="V7" s="1705"/>
      <c r="W7" s="827"/>
      <c r="X7" s="827" t="s">
        <v>6</v>
      </c>
      <c r="Y7" s="828"/>
      <c r="Z7" s="1716" t="s">
        <v>225</v>
      </c>
      <c r="AA7" s="1637"/>
      <c r="AB7" s="1637"/>
      <c r="AC7" s="1637"/>
    </row>
    <row r="8" spans="2:29" ht="19" customHeight="1" thickBot="1">
      <c r="E8" s="829" t="s">
        <v>613</v>
      </c>
      <c r="F8" s="828"/>
      <c r="G8" s="828"/>
      <c r="H8" s="830">
        <v>1</v>
      </c>
      <c r="I8" s="828"/>
      <c r="J8" s="1722" t="str">
        <f>IF(OR(B10="m",B10="w",'Futterkurve Mast'!T6="HP"),Orientierungswerte!D26,"")</f>
        <v/>
      </c>
      <c r="K8" s="1723"/>
      <c r="L8" s="1723"/>
      <c r="M8" s="1723"/>
      <c r="N8" s="1723"/>
      <c r="O8" s="1723"/>
      <c r="P8" s="1723"/>
      <c r="Q8" s="1723"/>
      <c r="R8" s="1723"/>
      <c r="S8" s="1723"/>
      <c r="T8" s="1723"/>
      <c r="U8" s="1723"/>
      <c r="V8" s="1431"/>
      <c r="W8" s="827"/>
      <c r="X8" s="827" t="s">
        <v>7</v>
      </c>
      <c r="Y8" s="828"/>
      <c r="Z8" s="1717" t="s">
        <v>225</v>
      </c>
      <c r="AA8" s="1637"/>
      <c r="AB8" s="1637"/>
      <c r="AC8" s="1637"/>
    </row>
    <row r="9" spans="2:29" ht="3.75" customHeight="1" thickBot="1">
      <c r="E9" s="829"/>
      <c r="F9" s="828"/>
      <c r="G9" s="828"/>
      <c r="H9" s="1503"/>
      <c r="I9" s="828"/>
      <c r="J9" s="1476"/>
      <c r="K9" s="1431"/>
      <c r="L9" s="1431"/>
      <c r="M9" s="1431"/>
      <c r="N9" s="1431"/>
      <c r="O9" s="1431"/>
      <c r="P9" s="1431"/>
      <c r="Q9" s="1431"/>
      <c r="R9" s="1431"/>
      <c r="S9" s="1431"/>
      <c r="T9" s="1431"/>
      <c r="U9" s="1431"/>
      <c r="V9" s="1431"/>
      <c r="W9" s="827"/>
      <c r="X9" s="827"/>
      <c r="Y9" s="828"/>
      <c r="Z9" s="1475"/>
      <c r="AA9" s="1474"/>
      <c r="AB9" s="1474"/>
      <c r="AC9" s="1474"/>
    </row>
    <row r="10" spans="2:29" ht="19" customHeight="1" thickBot="1">
      <c r="B10" s="1026"/>
      <c r="C10" s="233" t="s">
        <v>247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</row>
    <row r="11" spans="2:29" s="235" customFormat="1" ht="40" customHeight="1">
      <c r="B11" s="493"/>
      <c r="C11" s="493"/>
      <c r="D11" s="485"/>
      <c r="E11" s="833" t="s">
        <v>615</v>
      </c>
      <c r="F11" s="1444" t="s">
        <v>861</v>
      </c>
      <c r="G11" s="1444" t="s">
        <v>863</v>
      </c>
      <c r="H11" s="831" t="s">
        <v>614</v>
      </c>
      <c r="I11" s="238" t="s">
        <v>157</v>
      </c>
      <c r="J11" s="239" t="s">
        <v>367</v>
      </c>
      <c r="K11" s="520" t="s">
        <v>368</v>
      </c>
      <c r="L11" s="239" t="s">
        <v>322</v>
      </c>
      <c r="M11" s="1121" t="s">
        <v>694</v>
      </c>
      <c r="N11" s="1121" t="s">
        <v>695</v>
      </c>
      <c r="O11" s="240" t="s">
        <v>15</v>
      </c>
      <c r="P11" s="241" t="s">
        <v>243</v>
      </c>
      <c r="Q11" s="240" t="s">
        <v>227</v>
      </c>
      <c r="R11" s="241" t="s">
        <v>365</v>
      </c>
      <c r="S11" s="240" t="s">
        <v>17</v>
      </c>
      <c r="T11" s="241" t="s">
        <v>244</v>
      </c>
      <c r="U11" s="240" t="s">
        <v>330</v>
      </c>
      <c r="V11" s="241" t="s">
        <v>366</v>
      </c>
      <c r="W11" s="240" t="s">
        <v>18</v>
      </c>
      <c r="X11" s="240" t="s">
        <v>19</v>
      </c>
      <c r="Y11" s="241" t="s">
        <v>20</v>
      </c>
      <c r="Z11" s="242" t="s">
        <v>424</v>
      </c>
      <c r="AA11" s="240" t="s">
        <v>21</v>
      </c>
      <c r="AB11" s="243" t="s">
        <v>22</v>
      </c>
      <c r="AC11" s="1297" t="s">
        <v>226</v>
      </c>
    </row>
    <row r="12" spans="2:29" s="244" customFormat="1" ht="19" customHeight="1" thickBot="1">
      <c r="B12" s="1294" t="s">
        <v>207</v>
      </c>
      <c r="C12" s="1718" t="s">
        <v>359</v>
      </c>
      <c r="D12" s="1681"/>
      <c r="E12" s="817" t="s">
        <v>226</v>
      </c>
      <c r="F12" s="245" t="s">
        <v>29</v>
      </c>
      <c r="G12" s="245" t="s">
        <v>29</v>
      </c>
      <c r="H12" s="832" t="s">
        <v>257</v>
      </c>
      <c r="I12" s="1706" t="s">
        <v>30</v>
      </c>
      <c r="J12" s="1707"/>
      <c r="K12" s="1707"/>
      <c r="L12" s="1708"/>
      <c r="M12" s="1711" t="s">
        <v>86</v>
      </c>
      <c r="N12" s="1712"/>
      <c r="O12" s="1679" t="s">
        <v>31</v>
      </c>
      <c r="P12" s="1709"/>
      <c r="Q12" s="1709"/>
      <c r="R12" s="1709"/>
      <c r="S12" s="1709"/>
      <c r="T12" s="1709"/>
      <c r="U12" s="1709"/>
      <c r="V12" s="1709"/>
      <c r="W12" s="1709"/>
      <c r="X12" s="1709"/>
      <c r="Y12" s="1709"/>
      <c r="Z12" s="1709"/>
      <c r="AA12" s="1709"/>
      <c r="AB12" s="1710"/>
      <c r="AC12" s="246" t="s">
        <v>24</v>
      </c>
    </row>
    <row r="13" spans="2:29" ht="19" customHeight="1">
      <c r="B13" s="494">
        <f>IF($C13=""," ",VLOOKUP($C13,Futtermittel!$A$8:$CG$171,2,FALSE))</f>
        <v>49</v>
      </c>
      <c r="C13" s="1690" t="s">
        <v>1123</v>
      </c>
      <c r="D13" s="1691"/>
      <c r="E13" s="492">
        <v>12.68</v>
      </c>
      <c r="F13" s="949">
        <v>0.52</v>
      </c>
      <c r="G13" s="1466">
        <f>IF(F13="","",I13/I$30)</f>
        <v>0.516746843733767</v>
      </c>
      <c r="H13" s="1464">
        <f>IF(F13=""," ",$H$8*F13*1000)</f>
        <v>520</v>
      </c>
      <c r="I13" s="943">
        <f>IF($C13=""," ",VLOOKUP($C13,Futtermittel!$A$8:$CG$171,8,FALSE)*$F13)</f>
        <v>457.6</v>
      </c>
      <c r="J13" s="247">
        <f>IF($C13=""," ",VLOOKUP($C13,Futtermittel!$A$8:$CG$171,9,FALSE)*$F13)</f>
        <v>56.42</v>
      </c>
      <c r="K13" s="247">
        <f>IF($C13=""," ",VLOOKUP($C13,Futtermittel!$A$8:$CG$171,10,FALSE)*$F13)</f>
        <v>50.778000000000006</v>
      </c>
      <c r="L13" s="247">
        <f>IF($C13=""," ",VLOOKUP($C13,Futtermittel!$A$8:$CG$171,11,FALSE)*$F13)</f>
        <v>13.624000000000001</v>
      </c>
      <c r="M13" s="1124">
        <f>IF($C13=""," ",VLOOKUP($C13,Futtermittel!$A$8:$CG$171,12,FALSE)*$F13)</f>
        <v>7.114479996</v>
      </c>
      <c r="N13" s="1124">
        <f>IF($C13=""," ",VLOOKUP(C13,Futtermittel!$A$8:$CG$171,13,FALSE)*$F13)</f>
        <v>7.1625736520000016</v>
      </c>
      <c r="O13" s="248">
        <f>IF($C13=""," ",VLOOKUP($C13,Futtermittel!$A$8:$CG$171,14,FALSE)*$F13)</f>
        <v>1.6144440000000002</v>
      </c>
      <c r="P13" s="248">
        <f>IF($C13=""," ",VLOOKUP($C13,Futtermittel!$A$8:$CG$171,15,FALSE)*$F13)</f>
        <v>1.4207107200000002</v>
      </c>
      <c r="Q13" s="248">
        <f>IF($C13=""," ",VLOOKUP($C13,Futtermittel!$A$8:$CG$171,16,FALSE)*$F13)</f>
        <v>2.1108100000000003</v>
      </c>
      <c r="R13" s="248">
        <f>IF($C13=""," ",VLOOKUP($C13,Futtermittel!$A$8:$CG$171,17,FALSE)*$F13)</f>
        <v>1.9067650333333339</v>
      </c>
      <c r="S13" s="248">
        <f>IF($C13=""," ",VLOOKUP($C13,Futtermittel!$A$8:$CG$171,18,FALSE)*$F13)</f>
        <v>1.6057860000000002</v>
      </c>
      <c r="T13" s="248">
        <f>IF($C13=""," ",VLOOKUP($C13,Futtermittel!$A$8:$CG$171,19,FALSE)*$F13)</f>
        <v>1.4452074000000004</v>
      </c>
      <c r="U13" s="248">
        <f>IF($C13=""," ",VLOOKUP($C13,Futtermittel!$A$8:$CG$171,20,FALSE)*$F13)</f>
        <v>0.74508200000000013</v>
      </c>
      <c r="V13" s="248">
        <f>IF($C13=""," ",VLOOKUP($C13,Futtermittel!$A$8:$CG$171,21,FALSE)*$F13)</f>
        <v>0.65567216000000006</v>
      </c>
      <c r="W13" s="248">
        <f>IF($C13=""," ",VLOOKUP($C13,Futtermittel!$A$8:$CG$171,22,FALSE)*$F13)</f>
        <v>0.36399999999999999</v>
      </c>
      <c r="X13" s="248">
        <f>IF($C13=""," ",VLOOKUP($C13,Futtermittel!$A$8:$CG$171,23,FALSE)*$F13)</f>
        <v>1.716</v>
      </c>
      <c r="Y13" s="248">
        <f>IF($C13=""," ",VLOOKUP($C13,Futtermittel!$A$8:$CG$171,24,FALSE)*$F13)</f>
        <v>1.0295999999999998</v>
      </c>
      <c r="Z13" s="248">
        <f>IF($C13=""," ",VLOOKUP($C13,Futtermittel!$A$8:$CG$171,25,FALSE)*$F13)</f>
        <v>1.1153999999999999</v>
      </c>
      <c r="AA13" s="248">
        <f>IF($C13=""," ",VLOOKUP($C13,Futtermittel!$A$8:$CG$171,26,FALSE)*$F13)</f>
        <v>0.57200000000000006</v>
      </c>
      <c r="AB13" s="1301">
        <f>IF($C13=""," ",VLOOKUP($C13,Futtermittel!$A$8:$CG$171,27,FALSE)*$F13)</f>
        <v>0.10400000000000001</v>
      </c>
      <c r="AC13" s="488">
        <f>IF(E13*F13=0," ",E13*F13)</f>
        <v>6.5936000000000003</v>
      </c>
    </row>
    <row r="14" spans="2:29" ht="19" customHeight="1">
      <c r="B14" s="489">
        <f>IF($C14=""," ",VLOOKUP($C14,Futtermittel!$A$8:$CG$171,2,FALSE))</f>
        <v>11</v>
      </c>
      <c r="C14" s="1682" t="s">
        <v>1124</v>
      </c>
      <c r="D14" s="1683"/>
      <c r="E14" s="490">
        <v>11.22</v>
      </c>
      <c r="F14" s="818">
        <v>0.28000000000000003</v>
      </c>
      <c r="G14" s="1467">
        <f>IF(F14="","",I14/I$30)</f>
        <v>0.27824830047202836</v>
      </c>
      <c r="H14" s="1461">
        <f t="shared" ref="H14:H29" si="0">IF(F14=""," ",$H$8*F14*1000)</f>
        <v>280</v>
      </c>
      <c r="I14" s="944">
        <f>IF($C14=""," ",VLOOKUP($C14,Futtermittel!$A$8:$CG$171,8,FALSE)*$F14)</f>
        <v>246.40000000000003</v>
      </c>
      <c r="J14" s="249">
        <f>IF($C14=""," ",VLOOKUP($C14,Futtermittel!$A$8:$CG$171,9,FALSE)*$F14)</f>
        <v>30.184000000000001</v>
      </c>
      <c r="K14" s="249">
        <f>IF($C14=""," ",VLOOKUP($C14,Futtermittel!$A$8:$CG$171,10,FALSE)*$F14)</f>
        <v>22.034320000000005</v>
      </c>
      <c r="L14" s="249">
        <f>IF($C14=""," ",VLOOKUP($C14,Futtermittel!$A$8:$CG$171,11,FALSE)*$F14)</f>
        <v>15.232000000000001</v>
      </c>
      <c r="M14" s="1123">
        <f>IF($C14=""," ",VLOOKUP($C14,Futtermittel!$A$8:$CG$171,12,FALSE)*$F14)</f>
        <v>3.5203203840000001</v>
      </c>
      <c r="N14" s="1123">
        <f>IF($C14=""," ",VLOOKUP(C14,Futtermittel!$A$8:$CG$171,13,FALSE)*$F14)</f>
        <v>3.5325561040000011</v>
      </c>
      <c r="O14" s="250">
        <f>IF($C14=""," ",VLOOKUP($C14,Futtermittel!$A$8:$CG$171,14,FALSE)*$F14)</f>
        <v>1.0776136000000001</v>
      </c>
      <c r="P14" s="250">
        <f>IF($C14=""," ",VLOOKUP($C14,Futtermittel!$A$8:$CG$171,15,FALSE)*$F14)</f>
        <v>0.78665792800000012</v>
      </c>
      <c r="Q14" s="250">
        <f>IF($C14=""," ",VLOOKUP($C14,Futtermittel!$A$8:$CG$171,16,FALSE)*$F14)</f>
        <v>1.1326784000000001</v>
      </c>
      <c r="R14" s="250">
        <f>IF($C14=""," ",VLOOKUP($C14,Futtermittel!$A$8:$CG$171,17,FALSE)*$F14)</f>
        <v>0.94846912336842126</v>
      </c>
      <c r="S14" s="250">
        <f>IF($C14=""," ",VLOOKUP($C14,Futtermittel!$A$8:$CG$171,18,FALSE)*$F14)</f>
        <v>0.99845760000000017</v>
      </c>
      <c r="T14" s="250">
        <f>IF($C14=""," ",VLOOKUP($C14,Futtermittel!$A$8:$CG$171,19,FALSE)*$F14)</f>
        <v>0.75882777600000006</v>
      </c>
      <c r="U14" s="250">
        <f>IF($C14=""," ",VLOOKUP($C14,Futtermittel!$A$8:$CG$171,20,FALSE)*$F14)</f>
        <v>0.37722160000000005</v>
      </c>
      <c r="V14" s="250">
        <f>IF($C14=""," ",VLOOKUP($C14,Futtermittel!$A$8:$CG$171,21,FALSE)*$F14)</f>
        <v>0.28668841600000006</v>
      </c>
      <c r="W14" s="250">
        <f>IF($C14=""," ",VLOOKUP($C14,Futtermittel!$A$8:$CG$171,22,FALSE)*$F14)</f>
        <v>0.12073600000000002</v>
      </c>
      <c r="X14" s="250">
        <f>IF($C14=""," ",VLOOKUP($C14,Futtermittel!$A$8:$CG$171,23,FALSE)*$F14)</f>
        <v>0.99126436781609206</v>
      </c>
      <c r="Y14" s="250">
        <f>IF($C14=""," ",VLOOKUP($C14,Futtermittel!$A$8:$CG$171,24,FALSE)*$F14)</f>
        <v>0.44606896551724146</v>
      </c>
      <c r="Z14" s="250">
        <f>IF($C14=""," ",VLOOKUP($C14,Futtermittel!$A$8:$CG$171,25,FALSE)*$F14)</f>
        <v>0.64432183908045981</v>
      </c>
      <c r="AA14" s="250">
        <f>IF($C14=""," ",VLOOKUP($C14,Futtermittel!$A$8:$CG$171,26,FALSE)*$F14)</f>
        <v>0.31154022988505753</v>
      </c>
      <c r="AB14" s="1302">
        <f>IF($C14=""," ",VLOOKUP($C14,Futtermittel!$A$8:$CG$171,27,FALSE)*$F14)</f>
        <v>4.2482758620689662E-2</v>
      </c>
      <c r="AC14" s="484">
        <f t="shared" ref="AC14:AC23" si="1">IF(E14*F14=0," ",E14*F14)</f>
        <v>3.1416000000000004</v>
      </c>
    </row>
    <row r="15" spans="2:29" ht="19" customHeight="1">
      <c r="B15" s="489">
        <f>IF($C15=""," ",VLOOKUP($C15,Futtermittel!$A$8:$CG$171,2,FALSE))</f>
        <v>100</v>
      </c>
      <c r="C15" s="1682" t="s">
        <v>704</v>
      </c>
      <c r="D15" s="1683"/>
      <c r="E15" s="490">
        <v>35.5</v>
      </c>
      <c r="F15" s="818">
        <v>0.155</v>
      </c>
      <c r="G15" s="1467">
        <f t="shared" ref="G15:G23" si="2">IF(F15="","",I15/I$30)</f>
        <v>0.155780653612485</v>
      </c>
      <c r="H15" s="1461">
        <f t="shared" si="0"/>
        <v>155</v>
      </c>
      <c r="I15" s="944">
        <f>IF($C15=""," ",VLOOKUP($C15,Futtermittel!$A$8:$CG$171,8,FALSE)*$F15)</f>
        <v>137.94999999999999</v>
      </c>
      <c r="J15" s="249">
        <f>IF($C15=""," ",VLOOKUP($C15,Futtermittel!$A$8:$CG$171,9,FALSE)*$F15)</f>
        <v>72.849999999999994</v>
      </c>
      <c r="K15" s="249">
        <f>IF($C15=""," ",VLOOKUP($C15,Futtermittel!$A$8:$CG$171,10,FALSE)*$F15)</f>
        <v>59.736999999999995</v>
      </c>
      <c r="L15" s="249">
        <f>IF($C15=""," ",VLOOKUP($C15,Futtermittel!$A$8:$CG$171,11,FALSE)*$F15)</f>
        <v>8.06</v>
      </c>
      <c r="M15" s="1123">
        <f>IF($C15=""," ",VLOOKUP($C15,Futtermittel!$A$8:$CG$171,12,FALSE)*$F15)</f>
        <v>2.1478540649999998</v>
      </c>
      <c r="N15" s="1123">
        <f>IF($C15=""," ",VLOOKUP(C15,Futtermittel!$A$8:$CG$171,13,FALSE)*$F15)</f>
        <v>2.1454137449999999</v>
      </c>
      <c r="O15" s="250">
        <f>IF($C15=""," ",VLOOKUP($C15,Futtermittel!$A$8:$CG$171,14,FALSE)*$F15)</f>
        <v>4.459047045454545</v>
      </c>
      <c r="P15" s="250">
        <f>IF($C15=""," ",VLOOKUP($C15,Futtermittel!$A$8:$CG$171,15,FALSE)*$F15)</f>
        <v>3.8793709295454537</v>
      </c>
      <c r="Q15" s="250">
        <f>IF($C15=""," ",VLOOKUP($C15,Futtermittel!$A$8:$CG$171,16,FALSE)*$F15)</f>
        <v>2.0478212499999997</v>
      </c>
      <c r="R15" s="250">
        <f>IF($C15=""," ",VLOOKUP($C15,Futtermittel!$A$8:$CG$171,17,FALSE)*$F15)</f>
        <v>1.7056775765384611</v>
      </c>
      <c r="S15" s="250">
        <f>IF($C15=""," ",VLOOKUP($C15,Futtermittel!$A$8:$CG$171,18,FALSE)*$F15)</f>
        <v>2.8505451136363633</v>
      </c>
      <c r="T15" s="250">
        <f>IF($C15=""," ",VLOOKUP($C15,Futtermittel!$A$8:$CG$171,19,FALSE)*$F15)</f>
        <v>2.4514687977272724</v>
      </c>
      <c r="U15" s="250">
        <f>IF($C15=""," ",VLOOKUP($C15,Futtermittel!$A$8:$CG$171,20,FALSE)*$F15)</f>
        <v>0.98688147727272701</v>
      </c>
      <c r="V15" s="250">
        <f>IF($C15=""," ",VLOOKUP($C15,Futtermittel!$A$8:$CG$171,21,FALSE)*$F15)</f>
        <v>0.84871807045454517</v>
      </c>
      <c r="W15" s="250">
        <f>IF($C15=""," ",VLOOKUP($C15,Futtermittel!$A$8:$CG$171,22,FALSE)*$F15)</f>
        <v>0.49353399979787244</v>
      </c>
      <c r="X15" s="250">
        <f>IF($C15=""," ",VLOOKUP($C15,Futtermittel!$A$8:$CG$171,23,FALSE)*$F15)</f>
        <v>1.038954340473506</v>
      </c>
      <c r="Y15" s="250">
        <f>IF($C15=""," ",VLOOKUP($C15,Futtermittel!$A$8:$CG$171,24,FALSE)*$F15)</f>
        <v>0.41558173618940242</v>
      </c>
      <c r="Z15" s="250">
        <f>IF($C15=""," ",VLOOKUP($C15,Futtermittel!$A$8:$CG$171,25,FALSE)*$F15)</f>
        <v>0.67532032130777897</v>
      </c>
      <c r="AA15" s="250">
        <f>IF($C15=""," ",VLOOKUP($C15,Futtermittel!$A$8:$CG$171,26,FALSE)*$F15)</f>
        <v>0.43737781276595744</v>
      </c>
      <c r="AB15" s="1302">
        <f>IF($C15=""," ",VLOOKUP($C15,Futtermittel!$A$8:$CG$171,27,FALSE)*$F15)</f>
        <v>2.6210500000000001E-2</v>
      </c>
      <c r="AC15" s="484">
        <f t="shared" si="1"/>
        <v>5.5025000000000004</v>
      </c>
    </row>
    <row r="16" spans="2:29" ht="19" customHeight="1">
      <c r="B16" s="489">
        <f>IF($C16=""," ",VLOOKUP($C16,Futtermittel!$A$8:$CG$171,2,FALSE))</f>
        <v>140</v>
      </c>
      <c r="C16" s="1682" t="s">
        <v>1028</v>
      </c>
      <c r="D16" s="1683"/>
      <c r="E16" s="490">
        <v>97</v>
      </c>
      <c r="F16" s="818">
        <v>0.01</v>
      </c>
      <c r="G16" s="1467">
        <f t="shared" si="2"/>
        <v>1.1281252117352123E-2</v>
      </c>
      <c r="H16" s="1461">
        <f t="shared" si="0"/>
        <v>10</v>
      </c>
      <c r="I16" s="944">
        <f>IF($C16=""," ",VLOOKUP($C16,Futtermittel!$A$8:$CG$171,8,FALSE)*$F16)</f>
        <v>9.99</v>
      </c>
      <c r="J16" s="249">
        <f>IF($C16=""," ",VLOOKUP($C16,Futtermittel!$A$8:$CG$171,9,FALSE)*$F16)</f>
        <v>0</v>
      </c>
      <c r="K16" s="249">
        <f>IF($C16=""," ",VLOOKUP($C16,Futtermittel!$A$8:$CG$171,10,FALSE)*$F16)</f>
        <v>0</v>
      </c>
      <c r="L16" s="249">
        <f>IF($C16=""," ",VLOOKUP($C16,Futtermittel!$A$8:$CG$171,11,FALSE)*$F16)</f>
        <v>0</v>
      </c>
      <c r="M16" s="1123">
        <f>IF($C16=""," ",VLOOKUP($C16,Futtermittel!$A$8:$CG$171,12,FALSE)*$F16)</f>
        <v>0.38925992000000004</v>
      </c>
      <c r="N16" s="1123">
        <f>IF($C16=""," ",VLOOKUP(C16,Futtermittel!$A$8:$CG$171,13,FALSE)*$F16)</f>
        <v>0.32432006000000002</v>
      </c>
      <c r="O16" s="250">
        <f>IF($C16=""," ",VLOOKUP($C16,Futtermittel!$A$8:$CG$171,14,FALSE)*$F16)</f>
        <v>0</v>
      </c>
      <c r="P16" s="250">
        <f>IF($C16=""," ",VLOOKUP($C16,Futtermittel!$A$8:$CG$171,15,FALSE)*$F16)</f>
        <v>0</v>
      </c>
      <c r="Q16" s="250">
        <f>IF($C16=""," ",VLOOKUP($C16,Futtermittel!$A$8:$CG$171,16,FALSE)*$F16)</f>
        <v>0</v>
      </c>
      <c r="R16" s="250">
        <f>IF($C16=""," ",VLOOKUP($C16,Futtermittel!$A$8:$CG$171,17,FALSE)*$F16)</f>
        <v>0</v>
      </c>
      <c r="S16" s="250">
        <f>IF($C16=""," ",VLOOKUP($C16,Futtermittel!$A$8:$CG$171,18,FALSE)*$F16)</f>
        <v>0</v>
      </c>
      <c r="T16" s="250">
        <f>IF($C16=""," ",VLOOKUP($C16,Futtermittel!$A$8:$CG$171,19,FALSE)*$F16)</f>
        <v>0</v>
      </c>
      <c r="U16" s="250">
        <f>IF($C16=""," ",VLOOKUP($C16,Futtermittel!$A$8:$CG$171,20,FALSE)*$F16)</f>
        <v>0</v>
      </c>
      <c r="V16" s="250">
        <f>IF($C16=""," ",VLOOKUP($C16,Futtermittel!$A$8:$CG$171,21,FALSE)*$F16)</f>
        <v>0</v>
      </c>
      <c r="W16" s="250">
        <f>IF($C16=""," ",VLOOKUP($C16,Futtermittel!$A$8:$CG$171,22,FALSE)*$F16)</f>
        <v>0</v>
      </c>
      <c r="X16" s="250">
        <f>IF($C16=""," ",VLOOKUP($C16,Futtermittel!$A$8:$CG$171,23,FALSE)*$F16)</f>
        <v>0</v>
      </c>
      <c r="Y16" s="250">
        <f>IF($C16=""," ",VLOOKUP($C16,Futtermittel!$A$8:$CG$171,24,FALSE)*$F16)</f>
        <v>0</v>
      </c>
      <c r="Z16" s="250">
        <f>IF($C16=""," ",VLOOKUP($C16,Futtermittel!$A$8:$CG$171,25,FALSE)*$F16)</f>
        <v>0</v>
      </c>
      <c r="AA16" s="250">
        <f>IF($C16=""," ",VLOOKUP($C16,Futtermittel!$A$8:$CG$171,26,FALSE)*$F16)</f>
        <v>0</v>
      </c>
      <c r="AB16" s="1302">
        <f>IF($C16=""," ",VLOOKUP($C16,Futtermittel!$A$8:$CG$171,27,FALSE)*$F16)</f>
        <v>0</v>
      </c>
      <c r="AC16" s="484">
        <f t="shared" si="1"/>
        <v>0.97</v>
      </c>
    </row>
    <row r="17" spans="1:29" ht="19" customHeight="1">
      <c r="B17" s="489" t="str">
        <f>IF($C17=""," ",VLOOKUP($C17,Futtermittel!$A$8:$CG$171,2,FALSE))</f>
        <v xml:space="preserve"> </v>
      </c>
      <c r="C17" s="1682"/>
      <c r="D17" s="1683"/>
      <c r="E17" s="490"/>
      <c r="F17" s="818"/>
      <c r="G17" s="1467" t="str">
        <f t="shared" si="2"/>
        <v/>
      </c>
      <c r="H17" s="1461" t="str">
        <f t="shared" si="0"/>
        <v xml:space="preserve"> </v>
      </c>
      <c r="I17" s="944" t="str">
        <f>IF($C17=""," ",VLOOKUP($C17,Futtermittel!$A$8:$CG$171,8,FALSE)*$F17)</f>
        <v xml:space="preserve"> </v>
      </c>
      <c r="J17" s="249" t="str">
        <f>IF($C17=""," ",VLOOKUP($C17,Futtermittel!$A$8:$CG$171,9,FALSE)*$F17)</f>
        <v xml:space="preserve"> </v>
      </c>
      <c r="K17" s="249" t="str">
        <f>IF($C17=""," ",VLOOKUP($C17,Futtermittel!$A$8:$CG$171,10,FALSE)*$F17)</f>
        <v xml:space="preserve"> </v>
      </c>
      <c r="L17" s="249" t="str">
        <f>IF($C17=""," ",VLOOKUP($C17,Futtermittel!$A$8:$CG$171,11,FALSE)*$F17)</f>
        <v xml:space="preserve"> </v>
      </c>
      <c r="M17" s="1123" t="str">
        <f>IF($C17=""," ",VLOOKUP($C17,Futtermittel!$A$8:$CG$171,12,FALSE)*$F17)</f>
        <v xml:space="preserve"> </v>
      </c>
      <c r="N17" s="1123" t="str">
        <f>IF($C17=""," ",VLOOKUP(C17,Futtermittel!$A$8:$CG$171,13,FALSE)*$F17)</f>
        <v xml:space="preserve"> </v>
      </c>
      <c r="O17" s="250" t="str">
        <f>IF($C17=""," ",VLOOKUP($C17,Futtermittel!$A$8:$CG$171,14,FALSE)*$F17)</f>
        <v xml:space="preserve"> </v>
      </c>
      <c r="P17" s="250" t="str">
        <f>IF($C17=""," ",VLOOKUP($C17,Futtermittel!$A$8:$CG$171,15,FALSE)*$F17)</f>
        <v xml:space="preserve"> </v>
      </c>
      <c r="Q17" s="250" t="str">
        <f>IF($C17=""," ",VLOOKUP($C17,Futtermittel!$A$8:$CG$171,16,FALSE)*$F17)</f>
        <v xml:space="preserve"> </v>
      </c>
      <c r="R17" s="250" t="str">
        <f>IF($C17=""," ",VLOOKUP($C17,Futtermittel!$A$8:$CG$171,17,FALSE)*$F17)</f>
        <v xml:space="preserve"> </v>
      </c>
      <c r="S17" s="250" t="str">
        <f>IF($C17=""," ",VLOOKUP($C17,Futtermittel!$A$8:$CG$171,18,FALSE)*$F17)</f>
        <v xml:space="preserve"> </v>
      </c>
      <c r="T17" s="250" t="str">
        <f>IF($C17=""," ",VLOOKUP($C17,Futtermittel!$A$8:$CG$171,19,FALSE)*$F17)</f>
        <v xml:space="preserve"> </v>
      </c>
      <c r="U17" s="250" t="str">
        <f>IF($C17=""," ",VLOOKUP($C17,Futtermittel!$A$8:$CG$171,20,FALSE)*$F17)</f>
        <v xml:space="preserve"> </v>
      </c>
      <c r="V17" s="250" t="str">
        <f>IF($C17=""," ",VLOOKUP($C17,Futtermittel!$A$8:$CG$171,21,FALSE)*$F17)</f>
        <v xml:space="preserve"> </v>
      </c>
      <c r="W17" s="250" t="str">
        <f>IF($C17=""," ",VLOOKUP($C17,Futtermittel!$A$8:$CG$171,22,FALSE)*$F17)</f>
        <v xml:space="preserve"> </v>
      </c>
      <c r="X17" s="250" t="str">
        <f>IF($C17=""," ",VLOOKUP($C17,Futtermittel!$A$8:$CG$171,23,FALSE)*$F17)</f>
        <v xml:space="preserve"> </v>
      </c>
      <c r="Y17" s="250" t="str">
        <f>IF($C17=""," ",VLOOKUP($C17,Futtermittel!$A$8:$CG$171,24,FALSE)*$F17)</f>
        <v xml:space="preserve"> </v>
      </c>
      <c r="Z17" s="250" t="str">
        <f>IF($C17=""," ",VLOOKUP($C17,Futtermittel!$A$8:$CG$171,25,FALSE)*$F17)</f>
        <v xml:space="preserve"> </v>
      </c>
      <c r="AA17" s="250" t="str">
        <f>IF($C17=""," ",VLOOKUP($C17,Futtermittel!$A$8:$CG$171,26,FALSE)*$F17)</f>
        <v xml:space="preserve"> </v>
      </c>
      <c r="AB17" s="1302" t="str">
        <f>IF($C17=""," ",VLOOKUP($C17,Futtermittel!$A$8:$CG$171,27,FALSE)*$F17)</f>
        <v xml:space="preserve"> </v>
      </c>
      <c r="AC17" s="484" t="str">
        <f t="shared" si="1"/>
        <v xml:space="preserve"> </v>
      </c>
    </row>
    <row r="18" spans="1:29" ht="19" customHeight="1">
      <c r="B18" s="489" t="str">
        <f>IF($C18=""," ",VLOOKUP($C18,Futtermittel!$A$8:$CG$171,2,FALSE))</f>
        <v xml:space="preserve"> </v>
      </c>
      <c r="C18" s="1682"/>
      <c r="D18" s="1683"/>
      <c r="E18" s="490"/>
      <c r="F18" s="818"/>
      <c r="G18" s="1467" t="str">
        <f t="shared" si="2"/>
        <v/>
      </c>
      <c r="H18" s="1461" t="str">
        <f t="shared" si="0"/>
        <v xml:space="preserve"> </v>
      </c>
      <c r="I18" s="944" t="str">
        <f>IF($C18=""," ",VLOOKUP($C18,Futtermittel!$A$8:$CG$171,8,FALSE)*$F18)</f>
        <v xml:space="preserve"> </v>
      </c>
      <c r="J18" s="249" t="str">
        <f>IF($C18=""," ",VLOOKUP($C18,Futtermittel!$A$8:$CG$171,9,FALSE)*$F18)</f>
        <v xml:space="preserve"> </v>
      </c>
      <c r="K18" s="249" t="str">
        <f>IF($C18=""," ",VLOOKUP($C18,Futtermittel!$A$8:$CG$171,10,FALSE)*$F18)</f>
        <v xml:space="preserve"> </v>
      </c>
      <c r="L18" s="249" t="str">
        <f>IF($C18=""," ",VLOOKUP($C18,Futtermittel!$A$8:$CG$171,11,FALSE)*$F18)</f>
        <v xml:space="preserve"> </v>
      </c>
      <c r="M18" s="1123" t="str">
        <f>IF($C18=""," ",VLOOKUP($C18,Futtermittel!$A$8:$CG$171,12,FALSE)*$F18)</f>
        <v xml:space="preserve"> </v>
      </c>
      <c r="N18" s="1123" t="str">
        <f>IF($C18=""," ",VLOOKUP(C18,Futtermittel!$A$8:$CG$171,13,FALSE)*$F18)</f>
        <v xml:space="preserve"> </v>
      </c>
      <c r="O18" s="250" t="str">
        <f>IF($C18=""," ",VLOOKUP($C18,Futtermittel!$A$8:$CG$171,14,FALSE)*$F18)</f>
        <v xml:space="preserve"> </v>
      </c>
      <c r="P18" s="250" t="str">
        <f>IF($C18=""," ",VLOOKUP($C18,Futtermittel!$A$8:$CG$171,15,FALSE)*$F18)</f>
        <v xml:space="preserve"> </v>
      </c>
      <c r="Q18" s="250" t="str">
        <f>IF($C18=""," ",VLOOKUP($C18,Futtermittel!$A$8:$CG$171,16,FALSE)*$F18)</f>
        <v xml:space="preserve"> </v>
      </c>
      <c r="R18" s="250" t="str">
        <f>IF($C18=""," ",VLOOKUP($C18,Futtermittel!$A$8:$CG$171,17,FALSE)*$F18)</f>
        <v xml:space="preserve"> </v>
      </c>
      <c r="S18" s="250" t="str">
        <f>IF($C18=""," ",VLOOKUP($C18,Futtermittel!$A$8:$CG$171,18,FALSE)*$F18)</f>
        <v xml:space="preserve"> </v>
      </c>
      <c r="T18" s="250" t="str">
        <f>IF($C18=""," ",VLOOKUP($C18,Futtermittel!$A$8:$CG$171,19,FALSE)*$F18)</f>
        <v xml:space="preserve"> </v>
      </c>
      <c r="U18" s="250" t="str">
        <f>IF($C18=""," ",VLOOKUP($C18,Futtermittel!$A$8:$CG$171,20,FALSE)*$F18)</f>
        <v xml:space="preserve"> </v>
      </c>
      <c r="V18" s="250" t="str">
        <f>IF($C18=""," ",VLOOKUP($C18,Futtermittel!$A$8:$CG$171,21,FALSE)*$F18)</f>
        <v xml:space="preserve"> </v>
      </c>
      <c r="W18" s="250" t="str">
        <f>IF($C18=""," ",VLOOKUP($C18,Futtermittel!$A$8:$CG$171,22,FALSE)*$F18)</f>
        <v xml:space="preserve"> </v>
      </c>
      <c r="X18" s="250" t="str">
        <f>IF($C18=""," ",VLOOKUP($C18,Futtermittel!$A$8:$CG$171,23,FALSE)*$F18)</f>
        <v xml:space="preserve"> </v>
      </c>
      <c r="Y18" s="250" t="str">
        <f>IF($C18=""," ",VLOOKUP($C18,Futtermittel!$A$8:$CG$171,24,FALSE)*$F18)</f>
        <v xml:space="preserve"> </v>
      </c>
      <c r="Z18" s="250" t="str">
        <f>IF($C18=""," ",VLOOKUP($C18,Futtermittel!$A$8:$CG$171,25,FALSE)*$F18)</f>
        <v xml:space="preserve"> </v>
      </c>
      <c r="AA18" s="250" t="str">
        <f>IF($C18=""," ",VLOOKUP($C18,Futtermittel!$A$8:$CG$171,26,FALSE)*$F18)</f>
        <v xml:space="preserve"> </v>
      </c>
      <c r="AB18" s="1302" t="str">
        <f>IF($C18=""," ",VLOOKUP($C18,Futtermittel!$A$8:$CG$171,27,FALSE)*$F18)</f>
        <v xml:space="preserve"> </v>
      </c>
      <c r="AC18" s="484" t="str">
        <f t="shared" si="1"/>
        <v xml:space="preserve"> </v>
      </c>
    </row>
    <row r="19" spans="1:29" ht="19" customHeight="1">
      <c r="B19" s="489" t="str">
        <f>IF($C19=""," ",VLOOKUP($C19,Futtermittel!$A$8:$CG$171,2,FALSE))</f>
        <v xml:space="preserve"> </v>
      </c>
      <c r="C19" s="1682"/>
      <c r="D19" s="1683"/>
      <c r="E19" s="490"/>
      <c r="F19" s="818"/>
      <c r="G19" s="1467" t="str">
        <f t="shared" si="2"/>
        <v/>
      </c>
      <c r="H19" s="1461" t="str">
        <f t="shared" si="0"/>
        <v xml:space="preserve"> </v>
      </c>
      <c r="I19" s="944" t="str">
        <f>IF($C19=""," ",VLOOKUP($C19,Futtermittel!$A$8:$CG$171,8,FALSE)*$F19)</f>
        <v xml:space="preserve"> </v>
      </c>
      <c r="J19" s="249" t="str">
        <f>IF($C19=""," ",VLOOKUP($C19,Futtermittel!$A$8:$CG$171,9,FALSE)*$F19)</f>
        <v xml:space="preserve"> </v>
      </c>
      <c r="K19" s="249" t="str">
        <f>IF($C19=""," ",VLOOKUP($C19,Futtermittel!$A$8:$CG$171,10,FALSE)*$F19)</f>
        <v xml:space="preserve"> </v>
      </c>
      <c r="L19" s="249" t="str">
        <f>IF($C19=""," ",VLOOKUP($C19,Futtermittel!$A$8:$CG$171,11,FALSE)*$F19)</f>
        <v xml:space="preserve"> </v>
      </c>
      <c r="M19" s="1123" t="str">
        <f>IF($C19=""," ",VLOOKUP($C19,Futtermittel!$A$8:$CG$171,12,FALSE)*$F19)</f>
        <v xml:space="preserve"> </v>
      </c>
      <c r="N19" s="1123" t="str">
        <f>IF($C19=""," ",VLOOKUP(C19,Futtermittel!$A$8:$CG$171,13,FALSE)*$F19)</f>
        <v xml:space="preserve"> </v>
      </c>
      <c r="O19" s="250" t="str">
        <f>IF($C19=""," ",VLOOKUP($C19,Futtermittel!$A$8:$CG$171,14,FALSE)*$F19)</f>
        <v xml:space="preserve"> </v>
      </c>
      <c r="P19" s="250" t="str">
        <f>IF($C19=""," ",VLOOKUP($C19,Futtermittel!$A$8:$CG$171,15,FALSE)*$F19)</f>
        <v xml:space="preserve"> </v>
      </c>
      <c r="Q19" s="250" t="str">
        <f>IF($C19=""," ",VLOOKUP($C19,Futtermittel!$A$8:$CG$171,16,FALSE)*$F19)</f>
        <v xml:space="preserve"> </v>
      </c>
      <c r="R19" s="250" t="str">
        <f>IF($C19=""," ",VLOOKUP($C19,Futtermittel!$A$8:$CG$171,17,FALSE)*$F19)</f>
        <v xml:space="preserve"> </v>
      </c>
      <c r="S19" s="250" t="str">
        <f>IF($C19=""," ",VLOOKUP($C19,Futtermittel!$A$8:$CG$171,18,FALSE)*$F19)</f>
        <v xml:space="preserve"> </v>
      </c>
      <c r="T19" s="250" t="str">
        <f>IF($C19=""," ",VLOOKUP($C19,Futtermittel!$A$8:$CG$171,19,FALSE)*$F19)</f>
        <v xml:space="preserve"> </v>
      </c>
      <c r="U19" s="250" t="str">
        <f>IF($C19=""," ",VLOOKUP($C19,Futtermittel!$A$8:$CG$171,20,FALSE)*$F19)</f>
        <v xml:space="preserve"> </v>
      </c>
      <c r="V19" s="250" t="str">
        <f>IF($C19=""," ",VLOOKUP($C19,Futtermittel!$A$8:$CG$171,21,FALSE)*$F19)</f>
        <v xml:space="preserve"> </v>
      </c>
      <c r="W19" s="250" t="str">
        <f>IF($C19=""," ",VLOOKUP($C19,Futtermittel!$A$8:$CG$171,22,FALSE)*$F19)</f>
        <v xml:space="preserve"> </v>
      </c>
      <c r="X19" s="250" t="str">
        <f>IF($C19=""," ",VLOOKUP($C19,Futtermittel!$A$8:$CG$171,23,FALSE)*$F19)</f>
        <v xml:space="preserve"> </v>
      </c>
      <c r="Y19" s="250" t="str">
        <f>IF($C19=""," ",VLOOKUP($C19,Futtermittel!$A$8:$CG$171,24,FALSE)*$F19)</f>
        <v xml:space="preserve"> </v>
      </c>
      <c r="Z19" s="250" t="str">
        <f>IF($C19=""," ",VLOOKUP($C19,Futtermittel!$A$8:$CG$171,25,FALSE)*$F19)</f>
        <v xml:space="preserve"> </v>
      </c>
      <c r="AA19" s="250" t="str">
        <f>IF($C19=""," ",VLOOKUP($C19,Futtermittel!$A$8:$CG$171,26,FALSE)*$F19)</f>
        <v xml:space="preserve"> </v>
      </c>
      <c r="AB19" s="1302" t="str">
        <f>IF($C19=""," ",VLOOKUP($C19,Futtermittel!$A$8:$CG$171,27,FALSE)*$F19)</f>
        <v xml:space="preserve"> </v>
      </c>
      <c r="AC19" s="484" t="str">
        <f>IF(E19*F19=0," ",E19*F19)</f>
        <v xml:space="preserve"> </v>
      </c>
    </row>
    <row r="20" spans="1:29" ht="19" customHeight="1">
      <c r="B20" s="489" t="str">
        <f>IF($C20=""," ",VLOOKUP($C20,Futtermittel!$A$8:$CG$171,2,FALSE))</f>
        <v xml:space="preserve"> </v>
      </c>
      <c r="C20" s="1682"/>
      <c r="D20" s="1683"/>
      <c r="E20" s="490"/>
      <c r="F20" s="818"/>
      <c r="G20" s="1467" t="str">
        <f t="shared" si="2"/>
        <v/>
      </c>
      <c r="H20" s="1461" t="str">
        <f t="shared" si="0"/>
        <v xml:space="preserve"> </v>
      </c>
      <c r="I20" s="944" t="str">
        <f>IF($C20=""," ",VLOOKUP($C20,Futtermittel!$A$8:$CG$171,8,FALSE)*$F20)</f>
        <v xml:space="preserve"> </v>
      </c>
      <c r="J20" s="249" t="str">
        <f>IF($C20=""," ",VLOOKUP($C20,Futtermittel!$A$8:$CG$171,9,FALSE)*$F20)</f>
        <v xml:space="preserve"> </v>
      </c>
      <c r="K20" s="249" t="str">
        <f>IF($C20=""," ",VLOOKUP($C20,Futtermittel!$A$8:$CG$171,10,FALSE)*$F20)</f>
        <v xml:space="preserve"> </v>
      </c>
      <c r="L20" s="249" t="str">
        <f>IF($C20=""," ",VLOOKUP($C20,Futtermittel!$A$8:$CG$171,11,FALSE)*$F20)</f>
        <v xml:space="preserve"> </v>
      </c>
      <c r="M20" s="1123" t="str">
        <f>IF($C20=""," ",VLOOKUP($C20,Futtermittel!$A$8:$CG$171,12,FALSE)*$F20)</f>
        <v xml:space="preserve"> </v>
      </c>
      <c r="N20" s="1123" t="str">
        <f>IF($C20=""," ",VLOOKUP(C20,Futtermittel!$A$8:$CG$171,13,FALSE)*$F20)</f>
        <v xml:space="preserve"> </v>
      </c>
      <c r="O20" s="250" t="str">
        <f>IF($C20=""," ",VLOOKUP($C20,Futtermittel!$A$8:$CG$171,14,FALSE)*$F20)</f>
        <v xml:space="preserve"> </v>
      </c>
      <c r="P20" s="250" t="str">
        <f>IF($C20=""," ",VLOOKUP($C20,Futtermittel!$A$8:$CG$171,15,FALSE)*$F20)</f>
        <v xml:space="preserve"> </v>
      </c>
      <c r="Q20" s="250" t="str">
        <f>IF($C20=""," ",VLOOKUP($C20,Futtermittel!$A$8:$CG$171,16,FALSE)*$F20)</f>
        <v xml:space="preserve"> </v>
      </c>
      <c r="R20" s="250" t="str">
        <f>IF($C20=""," ",VLOOKUP($C20,Futtermittel!$A$8:$CG$171,17,FALSE)*$F20)</f>
        <v xml:space="preserve"> </v>
      </c>
      <c r="S20" s="250" t="str">
        <f>IF($C20=""," ",VLOOKUP($C20,Futtermittel!$A$8:$CG$171,18,FALSE)*$F20)</f>
        <v xml:space="preserve"> </v>
      </c>
      <c r="T20" s="250" t="str">
        <f>IF($C20=""," ",VLOOKUP($C20,Futtermittel!$A$8:$CG$171,19,FALSE)*$F20)</f>
        <v xml:space="preserve"> </v>
      </c>
      <c r="U20" s="250" t="str">
        <f>IF($C20=""," ",VLOOKUP($C20,Futtermittel!$A$8:$CG$171,20,FALSE)*$F20)</f>
        <v xml:space="preserve"> </v>
      </c>
      <c r="V20" s="250" t="str">
        <f>IF($C20=""," ",VLOOKUP($C20,Futtermittel!$A$8:$CG$171,21,FALSE)*$F20)</f>
        <v xml:space="preserve"> </v>
      </c>
      <c r="W20" s="250" t="str">
        <f>IF($C20=""," ",VLOOKUP($C20,Futtermittel!$A$8:$CG$171,22,FALSE)*$F20)</f>
        <v xml:space="preserve"> </v>
      </c>
      <c r="X20" s="250" t="str">
        <f>IF($C20=""," ",VLOOKUP($C20,Futtermittel!$A$8:$CG$171,23,FALSE)*$F20)</f>
        <v xml:space="preserve"> </v>
      </c>
      <c r="Y20" s="250" t="str">
        <f>IF($C20=""," ",VLOOKUP($C20,Futtermittel!$A$8:$CG$171,24,FALSE)*$F20)</f>
        <v xml:space="preserve"> </v>
      </c>
      <c r="Z20" s="250" t="str">
        <f>IF($C20=""," ",VLOOKUP($C20,Futtermittel!$A$8:$CG$171,25,FALSE)*$F20)</f>
        <v xml:space="preserve"> </v>
      </c>
      <c r="AA20" s="250" t="str">
        <f>IF($C20=""," ",VLOOKUP($C20,Futtermittel!$A$8:$CG$171,26,FALSE)*$F20)</f>
        <v xml:space="preserve"> </v>
      </c>
      <c r="AB20" s="1302" t="str">
        <f>IF($C20=""," ",VLOOKUP($C20,Futtermittel!$A$8:$CG$171,27,FALSE)*$F20)</f>
        <v xml:space="preserve"> </v>
      </c>
      <c r="AC20" s="484" t="str">
        <f>IF(E20*F20=0," ",E20*F20)</f>
        <v xml:space="preserve"> </v>
      </c>
    </row>
    <row r="21" spans="1:29" ht="19" customHeight="1">
      <c r="B21" s="489" t="str">
        <f>IF($C21=""," ",VLOOKUP($C21,Futtermittel!$A$8:$CG$171,2,FALSE))</f>
        <v xml:space="preserve"> </v>
      </c>
      <c r="C21" s="1682"/>
      <c r="D21" s="1683"/>
      <c r="E21" s="490"/>
      <c r="F21" s="818"/>
      <c r="G21" s="1467" t="str">
        <f t="shared" si="2"/>
        <v/>
      </c>
      <c r="H21" s="1461" t="str">
        <f t="shared" si="0"/>
        <v xml:space="preserve"> </v>
      </c>
      <c r="I21" s="944" t="str">
        <f>IF($C21=""," ",VLOOKUP($C21,Futtermittel!$A$8:$CG$171,8,FALSE)*$F21)</f>
        <v xml:space="preserve"> </v>
      </c>
      <c r="J21" s="249" t="str">
        <f>IF($C21=""," ",VLOOKUP($C21,Futtermittel!$A$8:$CG$171,9,FALSE)*$F21)</f>
        <v xml:space="preserve"> </v>
      </c>
      <c r="K21" s="249" t="str">
        <f>IF($C21=""," ",VLOOKUP($C21,Futtermittel!$A$8:$CG$171,10,FALSE)*$F21)</f>
        <v xml:space="preserve"> </v>
      </c>
      <c r="L21" s="249" t="str">
        <f>IF($C21=""," ",VLOOKUP($C21,Futtermittel!$A$8:$CG$171,11,FALSE)*$F21)</f>
        <v xml:space="preserve"> </v>
      </c>
      <c r="M21" s="1123" t="str">
        <f>IF($C21=""," ",VLOOKUP($C21,Futtermittel!$A$8:$CG$171,12,FALSE)*$F21)</f>
        <v xml:space="preserve"> </v>
      </c>
      <c r="N21" s="1123" t="str">
        <f>IF($C21=""," ",VLOOKUP(C21,Futtermittel!$A$8:$CG$171,13,FALSE)*$F21)</f>
        <v xml:space="preserve"> </v>
      </c>
      <c r="O21" s="250" t="str">
        <f>IF($C21=""," ",VLOOKUP($C21,Futtermittel!$A$8:$CG$171,14,FALSE)*$F21)</f>
        <v xml:space="preserve"> </v>
      </c>
      <c r="P21" s="250" t="str">
        <f>IF($C21=""," ",VLOOKUP($C21,Futtermittel!$A$8:$CG$171,15,FALSE)*$F21)</f>
        <v xml:space="preserve"> </v>
      </c>
      <c r="Q21" s="250" t="str">
        <f>IF($C21=""," ",VLOOKUP($C21,Futtermittel!$A$8:$CG$171,16,FALSE)*$F21)</f>
        <v xml:space="preserve"> </v>
      </c>
      <c r="R21" s="250" t="str">
        <f>IF($C21=""," ",VLOOKUP($C21,Futtermittel!$A$8:$CG$171,17,FALSE)*$F21)</f>
        <v xml:space="preserve"> </v>
      </c>
      <c r="S21" s="250" t="str">
        <f>IF($C21=""," ",VLOOKUP($C21,Futtermittel!$A$8:$CG$171,18,FALSE)*$F21)</f>
        <v xml:space="preserve"> </v>
      </c>
      <c r="T21" s="250" t="str">
        <f>IF($C21=""," ",VLOOKUP($C21,Futtermittel!$A$8:$CG$171,19,FALSE)*$F21)</f>
        <v xml:space="preserve"> </v>
      </c>
      <c r="U21" s="250" t="str">
        <f>IF($C21=""," ",VLOOKUP($C21,Futtermittel!$A$8:$CG$171,20,FALSE)*$F21)</f>
        <v xml:space="preserve"> </v>
      </c>
      <c r="V21" s="250" t="str">
        <f>IF($C21=""," ",VLOOKUP($C21,Futtermittel!$A$8:$CG$171,21,FALSE)*$F21)</f>
        <v xml:space="preserve"> </v>
      </c>
      <c r="W21" s="250" t="str">
        <f>IF($C21=""," ",VLOOKUP($C21,Futtermittel!$A$8:$CG$171,22,FALSE)*$F21)</f>
        <v xml:space="preserve"> </v>
      </c>
      <c r="X21" s="250" t="str">
        <f>IF($C21=""," ",VLOOKUP($C21,Futtermittel!$A$8:$CG$171,23,FALSE)*$F21)</f>
        <v xml:space="preserve"> </v>
      </c>
      <c r="Y21" s="250" t="str">
        <f>IF($C21=""," ",VLOOKUP($C21,Futtermittel!$A$8:$CG$171,24,FALSE)*$F21)</f>
        <v xml:space="preserve"> </v>
      </c>
      <c r="Z21" s="250" t="str">
        <f>IF($C21=""," ",VLOOKUP($C21,Futtermittel!$A$8:$CG$171,25,FALSE)*$F21)</f>
        <v xml:space="preserve"> </v>
      </c>
      <c r="AA21" s="250" t="str">
        <f>IF($C21=""," ",VLOOKUP($C21,Futtermittel!$A$8:$CG$171,26,FALSE)*$F21)</f>
        <v xml:space="preserve"> </v>
      </c>
      <c r="AB21" s="1302" t="str">
        <f>IF($C21=""," ",VLOOKUP($C21,Futtermittel!$A$8:$CG$171,27,FALSE)*$F21)</f>
        <v xml:space="preserve"> </v>
      </c>
      <c r="AC21" s="484" t="str">
        <f t="shared" si="1"/>
        <v xml:space="preserve"> </v>
      </c>
    </row>
    <row r="22" spans="1:29" ht="19" customHeight="1">
      <c r="B22" s="489" t="str">
        <f>IF($C22=""," ",VLOOKUP($C22,Futtermittel!$A$8:$CG$171,2,FALSE))</f>
        <v xml:space="preserve"> </v>
      </c>
      <c r="C22" s="1682"/>
      <c r="D22" s="1683"/>
      <c r="E22" s="490"/>
      <c r="F22" s="818"/>
      <c r="G22" s="1467" t="str">
        <f t="shared" si="2"/>
        <v/>
      </c>
      <c r="H22" s="1461" t="str">
        <f t="shared" si="0"/>
        <v xml:space="preserve"> </v>
      </c>
      <c r="I22" s="944" t="str">
        <f>IF($C22=""," ",VLOOKUP($C22,Futtermittel!$A$8:$CG$171,8,FALSE)*$F22)</f>
        <v xml:space="preserve"> </v>
      </c>
      <c r="J22" s="249" t="str">
        <f>IF($C22=""," ",VLOOKUP($C22,Futtermittel!$A$8:$CG$171,9,FALSE)*$F22)</f>
        <v xml:space="preserve"> </v>
      </c>
      <c r="K22" s="249" t="str">
        <f>IF($C22=""," ",VLOOKUP($C22,Futtermittel!$A$8:$CG$171,10,FALSE)*$F22)</f>
        <v xml:space="preserve"> </v>
      </c>
      <c r="L22" s="249" t="str">
        <f>IF($C22=""," ",VLOOKUP($C22,Futtermittel!$A$8:$CG$171,11,FALSE)*$F22)</f>
        <v xml:space="preserve"> </v>
      </c>
      <c r="M22" s="1123" t="str">
        <f>IF($C22=""," ",VLOOKUP($C22,Futtermittel!$A$8:$CG$171,12,FALSE)*$F22)</f>
        <v xml:space="preserve"> </v>
      </c>
      <c r="N22" s="1123" t="str">
        <f>IF($C22=""," ",VLOOKUP(C22,Futtermittel!$A$8:$CG$171,13,FALSE)*$F22)</f>
        <v xml:space="preserve"> </v>
      </c>
      <c r="O22" s="250" t="str">
        <f>IF($C22=""," ",VLOOKUP($C22,Futtermittel!$A$8:$CG$171,14,FALSE)*$F22)</f>
        <v xml:space="preserve"> </v>
      </c>
      <c r="P22" s="250" t="str">
        <f>IF($C22=""," ",VLOOKUP($C22,Futtermittel!$A$8:$CG$171,15,FALSE)*$F22)</f>
        <v xml:space="preserve"> </v>
      </c>
      <c r="Q22" s="250" t="str">
        <f>IF($C22=""," ",VLOOKUP($C22,Futtermittel!$A$8:$CG$171,16,FALSE)*$F22)</f>
        <v xml:space="preserve"> </v>
      </c>
      <c r="R22" s="250" t="str">
        <f>IF($C22=""," ",VLOOKUP($C22,Futtermittel!$A$8:$CG$171,17,FALSE)*$F22)</f>
        <v xml:space="preserve"> </v>
      </c>
      <c r="S22" s="250" t="str">
        <f>IF($C22=""," ",VLOOKUP($C22,Futtermittel!$A$8:$CG$171,18,FALSE)*$F22)</f>
        <v xml:space="preserve"> </v>
      </c>
      <c r="T22" s="250" t="str">
        <f>IF($C22=""," ",VLOOKUP($C22,Futtermittel!$A$8:$CG$171,19,FALSE)*$F22)</f>
        <v xml:space="preserve"> </v>
      </c>
      <c r="U22" s="250" t="str">
        <f>IF($C22=""," ",VLOOKUP($C22,Futtermittel!$A$8:$CG$171,20,FALSE)*$F22)</f>
        <v xml:space="preserve"> </v>
      </c>
      <c r="V22" s="250" t="str">
        <f>IF($C22=""," ",VLOOKUP($C22,Futtermittel!$A$8:$CG$171,21,FALSE)*$F22)</f>
        <v xml:space="preserve"> </v>
      </c>
      <c r="W22" s="250" t="str">
        <f>IF($C22=""," ",VLOOKUP($C22,Futtermittel!$A$8:$CG$171,22,FALSE)*$F22)</f>
        <v xml:space="preserve"> </v>
      </c>
      <c r="X22" s="250" t="str">
        <f>IF($C22=""," ",VLOOKUP($C22,Futtermittel!$A$8:$CG$171,23,FALSE)*$F22)</f>
        <v xml:space="preserve"> </v>
      </c>
      <c r="Y22" s="250" t="str">
        <f>IF($C22=""," ",VLOOKUP($C22,Futtermittel!$A$8:$CG$171,24,FALSE)*$F22)</f>
        <v xml:space="preserve"> </v>
      </c>
      <c r="Z22" s="250" t="str">
        <f>IF($C22=""," ",VLOOKUP($C22,Futtermittel!$A$8:$CG$171,25,FALSE)*$F22)</f>
        <v xml:space="preserve"> </v>
      </c>
      <c r="AA22" s="250" t="str">
        <f>IF($C22=""," ",VLOOKUP($C22,Futtermittel!$A$8:$CG$171,26,FALSE)*$F22)</f>
        <v xml:space="preserve"> </v>
      </c>
      <c r="AB22" s="1302" t="str">
        <f>IF($C22=""," ",VLOOKUP($C22,Futtermittel!$A$8:$CG$171,27,FALSE)*$F22)</f>
        <v xml:space="preserve"> </v>
      </c>
      <c r="AC22" s="484" t="str">
        <f t="shared" si="1"/>
        <v xml:space="preserve"> </v>
      </c>
    </row>
    <row r="23" spans="1:29" ht="19" customHeight="1" thickBot="1">
      <c r="B23" s="495" t="str">
        <f>IF($C23=""," ",VLOOKUP($C23,Futtermittel!$A$8:$CG$171,2,FALSE))</f>
        <v xml:space="preserve"> </v>
      </c>
      <c r="C23" s="1694"/>
      <c r="D23" s="1695"/>
      <c r="E23" s="491"/>
      <c r="F23" s="819"/>
      <c r="G23" s="1462" t="str">
        <f t="shared" si="2"/>
        <v/>
      </c>
      <c r="H23" s="1465" t="str">
        <f t="shared" si="0"/>
        <v xml:space="preserve"> </v>
      </c>
      <c r="I23" s="944" t="str">
        <f>IF($C23=""," ",VLOOKUP($C23,Futtermittel!$A$8:$CG$171,8,FALSE)*$F23)</f>
        <v xml:space="preserve"> </v>
      </c>
      <c r="J23" s="249" t="str">
        <f>IF($C23=""," ",VLOOKUP($C23,Futtermittel!$A$8:$CG$171,9,FALSE)*$F23)</f>
        <v xml:space="preserve"> </v>
      </c>
      <c r="K23" s="249" t="str">
        <f>IF($C23=""," ",VLOOKUP($C23,Futtermittel!$A$8:$CG$171,10,FALSE)*$F23)</f>
        <v xml:space="preserve"> </v>
      </c>
      <c r="L23" s="249" t="str">
        <f>IF($C23=""," ",VLOOKUP($C23,Futtermittel!$A$8:$CG$171,11,FALSE)*$F23)</f>
        <v xml:space="preserve"> </v>
      </c>
      <c r="M23" s="1123" t="str">
        <f>IF($C23=""," ",VLOOKUP($C23,Futtermittel!$A$8:$CG$171,12,FALSE)*$F23)</f>
        <v xml:space="preserve"> </v>
      </c>
      <c r="N23" s="1123" t="str">
        <f>IF($C23=""," ",VLOOKUP(C23,Futtermittel!$A$8:$CG$171,13,FALSE)*$F23)</f>
        <v xml:space="preserve"> </v>
      </c>
      <c r="O23" s="250" t="str">
        <f>IF($C23=""," ",VLOOKUP($C23,Futtermittel!$A$8:$CG$171,14,FALSE)*$F23)</f>
        <v xml:space="preserve"> </v>
      </c>
      <c r="P23" s="250" t="str">
        <f>IF($C23=""," ",VLOOKUP($C23,Futtermittel!$A$8:$CG$171,15,FALSE)*$F23)</f>
        <v xml:space="preserve"> </v>
      </c>
      <c r="Q23" s="250" t="str">
        <f>IF($C23=""," ",VLOOKUP($C23,Futtermittel!$A$8:$CG$171,16,FALSE)*$F23)</f>
        <v xml:space="preserve"> </v>
      </c>
      <c r="R23" s="250" t="str">
        <f>IF($C23=""," ",VLOOKUP($C23,Futtermittel!$A$8:$CG$171,17,FALSE)*$F23)</f>
        <v xml:space="preserve"> </v>
      </c>
      <c r="S23" s="250" t="str">
        <f>IF($C23=""," ",VLOOKUP($C23,Futtermittel!$A$8:$CG$171,18,FALSE)*$F23)</f>
        <v xml:space="preserve"> </v>
      </c>
      <c r="T23" s="250" t="str">
        <f>IF($C23=""," ",VLOOKUP($C23,Futtermittel!$A$8:$CG$171,19,FALSE)*$F23)</f>
        <v xml:space="preserve"> </v>
      </c>
      <c r="U23" s="250" t="str">
        <f>IF($C23=""," ",VLOOKUP($C23,Futtermittel!$A$8:$CG$171,20,FALSE)*$F23)</f>
        <v xml:space="preserve"> </v>
      </c>
      <c r="V23" s="250" t="str">
        <f>IF($C23=""," ",VLOOKUP($C23,Futtermittel!$A$8:$CG$171,21,FALSE)*$F23)</f>
        <v xml:space="preserve"> </v>
      </c>
      <c r="W23" s="250" t="str">
        <f>IF($C23=""," ",VLOOKUP($C23,Futtermittel!$A$8:$CG$171,22,FALSE)*$F23)</f>
        <v xml:space="preserve"> </v>
      </c>
      <c r="X23" s="250" t="str">
        <f>IF($C23=""," ",VLOOKUP($C23,Futtermittel!$A$8:$CG$171,23,FALSE)*$F23)</f>
        <v xml:space="preserve"> </v>
      </c>
      <c r="Y23" s="250" t="str">
        <f>IF($C23=""," ",VLOOKUP($C23,Futtermittel!$A$8:$CG$171,24,FALSE)*$F23)</f>
        <v xml:space="preserve"> </v>
      </c>
      <c r="Z23" s="250" t="str">
        <f>IF($C23=""," ",VLOOKUP($C23,Futtermittel!$A$8:$CG$171,25,FALSE)*$F23)</f>
        <v xml:space="preserve"> </v>
      </c>
      <c r="AA23" s="250" t="str">
        <f>IF($C23=""," ",VLOOKUP($C23,Futtermittel!$A$8:$CG$171,26,FALSE)*$F23)</f>
        <v xml:space="preserve"> </v>
      </c>
      <c r="AB23" s="1302" t="str">
        <f>IF($C23=""," ",VLOOKUP($C23,Futtermittel!$A$8:$CG$171,27,FALSE)*$F23)</f>
        <v xml:space="preserve"> </v>
      </c>
      <c r="AC23" s="484" t="str">
        <f t="shared" si="1"/>
        <v xml:space="preserve"> </v>
      </c>
    </row>
    <row r="24" spans="1:29" ht="19" customHeight="1" thickBot="1">
      <c r="A24" s="234"/>
      <c r="B24" s="496" t="s">
        <v>210</v>
      </c>
      <c r="C24" s="1295" t="s">
        <v>209</v>
      </c>
      <c r="D24" s="519" t="s">
        <v>360</v>
      </c>
      <c r="E24" s="1296"/>
      <c r="F24" s="1450"/>
      <c r="G24" s="1451" t="str">
        <f>IF(F24="","",I24/I$2941)</f>
        <v/>
      </c>
      <c r="H24" s="1433"/>
      <c r="I24" s="796"/>
      <c r="J24" s="1296"/>
      <c r="K24" s="1296"/>
      <c r="L24" s="1296"/>
      <c r="M24" s="1125"/>
      <c r="N24" s="1125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1303"/>
      <c r="AC24" s="1298" t="str">
        <f t="shared" ref="AC24:AC29" si="3">IF(E24*F24=0," ",E24*F24)</f>
        <v xml:space="preserve"> </v>
      </c>
    </row>
    <row r="25" spans="1:29" ht="19" customHeight="1">
      <c r="A25" s="234"/>
      <c r="B25" s="494" t="str">
        <f>IF($C25=""," ",VLOOKUP($C25,Ergänzungsfutter!$A$11:$Q$26,3,FALSE))</f>
        <v xml:space="preserve"> </v>
      </c>
      <c r="C25" s="1304"/>
      <c r="D25" s="501">
        <v>0.85</v>
      </c>
      <c r="E25" s="866"/>
      <c r="F25" s="1445"/>
      <c r="G25" s="1463" t="str">
        <f>IF(F25="","",I25/I$30)</f>
        <v/>
      </c>
      <c r="H25" s="941" t="str">
        <f t="shared" si="0"/>
        <v xml:space="preserve"> </v>
      </c>
      <c r="I25" s="944" t="str">
        <f>IF($C25=""," ",VLOOKUP($C25,Ergänzungsfutter!$A$11:$BE$26,5,FALSE)*$F25)</f>
        <v xml:space="preserve"> </v>
      </c>
      <c r="J25" s="249" t="str">
        <f>IF($C25=""," ",VLOOKUP($C25,Ergänzungsfutter!$A$11:$BE$26,6,FALSE)*$F25)</f>
        <v xml:space="preserve"> </v>
      </c>
      <c r="K25" s="249" t="str">
        <f>IF($C25=""," ",VLOOKUP($C25,Ergänzungsfutter!$A$11:$BE$26,6,FALSE)*$F25*D25)</f>
        <v xml:space="preserve"> </v>
      </c>
      <c r="L25" s="249" t="str">
        <f>IF($C25=""," ",VLOOKUP($C25,Ergänzungsfutter!$A$11:$BE$26,7,FALSE)*$F25)</f>
        <v xml:space="preserve"> </v>
      </c>
      <c r="M25" s="1123" t="str">
        <f>IF($C25=""," ",IF(VLOOKUP($C25,Ergänzungsfutter!$A$11:$BE$26,8,FALSE)=" ",0,VLOOKUP($C25,Ergänzungsfutter!$A$11:$BE$26,8,FALSE)*$F25))</f>
        <v xml:space="preserve"> </v>
      </c>
      <c r="N25" s="1123" t="str">
        <f>IF($C25=""," ",IF(VLOOKUP($C25,Ergänzungsfutter!$A$11:$BE$26,8,FALSE)=" ",0,VLOOKUP($C25,Ergänzungsfutter!$A$11:$BE$26,8,FALSE)*$F25))</f>
        <v xml:space="preserve"> </v>
      </c>
      <c r="O25" s="250" t="str">
        <f>IF($C25=""," ",VLOOKUP($C25,Ergänzungsfutter!$A$11:$BE$26,9,FALSE)*$F25)</f>
        <v xml:space="preserve"> </v>
      </c>
      <c r="P25" s="250" t="str">
        <f>IF($C25=""," ",VLOOKUP($C25,Ergänzungsfutter!$A$11:$BE$26,9,FALSE)*$F25*D25)</f>
        <v xml:space="preserve"> </v>
      </c>
      <c r="Q25" s="250" t="str">
        <f>IF($C25=""," ",VLOOKUP($C25,Ergänzungsfutter!$A$11:$BE$26,10,FALSE)*$F25)</f>
        <v xml:space="preserve"> </v>
      </c>
      <c r="R25" s="250" t="str">
        <f>IF($C25=""," ",VLOOKUP($C25,Ergänzungsfutter!$A$11:$BE$26,10,FALSE)*$F25*D25)</f>
        <v xml:space="preserve"> </v>
      </c>
      <c r="S25" s="250" t="str">
        <f>IF($C25=""," ",VLOOKUP($C25,Ergänzungsfutter!$A$11:$BE$26,11,FALSE)*$F25)</f>
        <v xml:space="preserve"> </v>
      </c>
      <c r="T25" s="250" t="str">
        <f>IF($C25=""," ",VLOOKUP($C25,Ergänzungsfutter!$A$11:$BE$26,11,FALSE)*$F25*D25)</f>
        <v xml:space="preserve"> </v>
      </c>
      <c r="U25" s="250" t="str">
        <f>IF($C25=""," ",VLOOKUP($C25,Ergänzungsfutter!$A$11:$BE$26,12,FALSE)*$F25)</f>
        <v xml:space="preserve"> </v>
      </c>
      <c r="V25" s="250" t="str">
        <f>IF($C25=""," ",VLOOKUP($C25,Ergänzungsfutter!$A$11:$BE$26,12,FALSE)*$F25*D25)</f>
        <v xml:space="preserve"> </v>
      </c>
      <c r="W25" s="250" t="str">
        <f>IF($C25=""," ",VLOOKUP($C25,Ergänzungsfutter!$A$11:$BE$26,13,FALSE)*$F25)</f>
        <v xml:space="preserve"> </v>
      </c>
      <c r="X25" s="250" t="str">
        <f>IF($C25=""," ",VLOOKUP($C25,Ergänzungsfutter!$A$11:$BE$26,14,FALSE)*$F25)</f>
        <v xml:space="preserve"> </v>
      </c>
      <c r="Y25" s="250" t="str">
        <f>IF($C25=""," ",VLOOKUP($C25,Ergänzungsfutter!$A$11:$BE$26,15,FALSE)*$F25)</f>
        <v xml:space="preserve"> </v>
      </c>
      <c r="Z25" s="250" t="str">
        <f>IF($C25=""," ",IF(Y25&gt;VLOOKUP($C25,Ergänzungsfutter!$A$11:$BE$26,14,FALSE)*$F25*0.65,Y25,VLOOKUP($C25,Ergänzungsfutter!$A$11:$BE$26,14,FALSE)*$F25*0.65))</f>
        <v xml:space="preserve"> </v>
      </c>
      <c r="AA25" s="250" t="str">
        <f>IF($C25=""," ",VLOOKUP($C25,Ergänzungsfutter!$A$11:$BE$26,16,FALSE)*$F25)</f>
        <v xml:space="preserve"> </v>
      </c>
      <c r="AB25" s="1302" t="str">
        <f>IF($C25=""," ",VLOOKUP($C25,Ergänzungsfutter!$A$11:$BE$26,17,FALSE)*$F25)</f>
        <v xml:space="preserve"> </v>
      </c>
      <c r="AC25" s="484" t="str">
        <f t="shared" si="3"/>
        <v xml:space="preserve"> </v>
      </c>
    </row>
    <row r="26" spans="1:29" ht="19" customHeight="1" thickBot="1">
      <c r="B26" s="495" t="str">
        <f>IF($C26=""," ",VLOOKUP($C26,Ergänzungsfutter!$A$11:$Q$26,3,FALSE))</f>
        <v xml:space="preserve"> </v>
      </c>
      <c r="C26" s="1305"/>
      <c r="D26" s="502"/>
      <c r="E26" s="867"/>
      <c r="F26" s="819"/>
      <c r="G26" s="1462" t="str">
        <f>IF(F26="","",I26/I$30)</f>
        <v/>
      </c>
      <c r="H26" s="942" t="str">
        <f t="shared" si="0"/>
        <v xml:space="preserve"> </v>
      </c>
      <c r="I26" s="944" t="str">
        <f>IF($C26=""," ",VLOOKUP($C26,Ergänzungsfutter!$A$11:$BE$26,5,FALSE)*$F26)</f>
        <v xml:space="preserve"> </v>
      </c>
      <c r="J26" s="249" t="str">
        <f>IF($C26=""," ",VLOOKUP($C26,Ergänzungsfutter!$A$11:$BE$26,6,FALSE)*$F26)</f>
        <v xml:space="preserve"> </v>
      </c>
      <c r="K26" s="249" t="str">
        <f>IF($C26=""," ",VLOOKUP($C26,Ergänzungsfutter!$A$11:$BE$26,6,FALSE)*$F26*D26)</f>
        <v xml:space="preserve"> </v>
      </c>
      <c r="L26" s="249" t="str">
        <f>IF($C26=""," ",VLOOKUP($C26,Ergänzungsfutter!$A$11:$BE$26,7,FALSE)*$F26)</f>
        <v xml:space="preserve"> </v>
      </c>
      <c r="M26" s="1123" t="str">
        <f>IF($C26=""," ",IF(VLOOKUP($C26,Ergänzungsfutter!$A$11:$BE$26,8,FALSE)=" ",0,VLOOKUP($C26,Ergänzungsfutter!$A$11:$BE$26,8,FALSE)*$F26))</f>
        <v xml:space="preserve"> </v>
      </c>
      <c r="N26" s="1123" t="str">
        <f>IF($C26=""," ",IF(VLOOKUP($C26,Ergänzungsfutter!$A$11:$BE$26,8,FALSE)=" ",0,VLOOKUP($C26,Ergänzungsfutter!$A$11:$BE$26,8,FALSE)*$F26))</f>
        <v xml:space="preserve"> </v>
      </c>
      <c r="O26" s="250" t="str">
        <f>IF($C26=""," ",VLOOKUP($C26,Ergänzungsfutter!$A$11:$BE$26,9,FALSE)*$F26)</f>
        <v xml:space="preserve"> </v>
      </c>
      <c r="P26" s="250" t="str">
        <f>IF($C26=""," ",VLOOKUP($C26,Ergänzungsfutter!$A$11:$BE$26,9,FALSE)*$F26*D26)</f>
        <v xml:space="preserve"> </v>
      </c>
      <c r="Q26" s="250" t="str">
        <f>IF($C26=""," ",VLOOKUP($C26,Ergänzungsfutter!$A$11:$BE$26,10,FALSE)*$F26)</f>
        <v xml:space="preserve"> </v>
      </c>
      <c r="R26" s="250" t="str">
        <f>IF($C26=""," ",VLOOKUP($C26,Ergänzungsfutter!$A$11:$BE$26,10,FALSE)*$F26*D26)</f>
        <v xml:space="preserve"> </v>
      </c>
      <c r="S26" s="250" t="str">
        <f>IF($C26=""," ",VLOOKUP($C26,Ergänzungsfutter!$A$11:$BE$26,11,FALSE)*$F26)</f>
        <v xml:space="preserve"> </v>
      </c>
      <c r="T26" s="250" t="str">
        <f>IF($C26=""," ",VLOOKUP($C26,Ergänzungsfutter!$A$11:$BE$26,11,FALSE)*$F26*D26)</f>
        <v xml:space="preserve"> </v>
      </c>
      <c r="U26" s="250" t="str">
        <f>IF($C26=""," ",VLOOKUP($C26,Ergänzungsfutter!$A$11:$BE$26,12,FALSE)*$F26)</f>
        <v xml:space="preserve"> </v>
      </c>
      <c r="V26" s="250" t="str">
        <f>IF($C26=""," ",VLOOKUP($C26,Ergänzungsfutter!$A$11:$BE$26,12,FALSE)*$F26*D26)</f>
        <v xml:space="preserve"> </v>
      </c>
      <c r="W26" s="250" t="str">
        <f>IF($C26=""," ",VLOOKUP($C26,Ergänzungsfutter!$A$11:$BE$26,13,FALSE)*$F26)</f>
        <v xml:space="preserve"> </v>
      </c>
      <c r="X26" s="250" t="str">
        <f>IF($C26=""," ",VLOOKUP($C26,Ergänzungsfutter!$A$11:$BE$26,14,FALSE)*$F26)</f>
        <v xml:space="preserve"> </v>
      </c>
      <c r="Y26" s="250" t="str">
        <f>IF($C26=""," ",VLOOKUP($C26,Ergänzungsfutter!$A$11:$BE$26,15,FALSE)*$F26)</f>
        <v xml:space="preserve"> </v>
      </c>
      <c r="Z26" s="250" t="str">
        <f>IF($C26=""," ",IF(Y26&gt;VLOOKUP($C26,Ergänzungsfutter!$A$11:$BE$26,14,FALSE)*$F26*0.65,Y26,VLOOKUP($C26,Ergänzungsfutter!$A$11:$BE$26,14,FALSE)*$F26*0.65))</f>
        <v xml:space="preserve"> </v>
      </c>
      <c r="AA26" s="250" t="str">
        <f>IF($C26=""," ",VLOOKUP($C26,Ergänzungsfutter!$A$11:$BE$26,16,FALSE)*$F26)</f>
        <v xml:space="preserve"> </v>
      </c>
      <c r="AB26" s="1302" t="str">
        <f>IF($C26=""," ",VLOOKUP($C26,Ergänzungsfutter!$A$11:$BE$26,17,FALSE)*$F26)</f>
        <v xml:space="preserve"> </v>
      </c>
      <c r="AC26" s="484" t="str">
        <f t="shared" si="3"/>
        <v xml:space="preserve"> </v>
      </c>
    </row>
    <row r="27" spans="1:29" ht="19" customHeight="1" thickBot="1">
      <c r="B27" s="496" t="s">
        <v>32</v>
      </c>
      <c r="C27" s="1684" t="s">
        <v>208</v>
      </c>
      <c r="D27" s="1669"/>
      <c r="E27" s="1296"/>
      <c r="F27" s="1450"/>
      <c r="G27" s="1451" t="str">
        <f>IF(F27="","",I27/I$2944)</f>
        <v/>
      </c>
      <c r="H27" s="1433"/>
      <c r="I27" s="796"/>
      <c r="J27" s="1296"/>
      <c r="K27" s="1296"/>
      <c r="L27" s="1296"/>
      <c r="M27" s="1125"/>
      <c r="N27" s="1125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1303"/>
      <c r="AC27" s="1298" t="str">
        <f t="shared" si="3"/>
        <v xml:space="preserve"> </v>
      </c>
    </row>
    <row r="28" spans="1:29" ht="19" customHeight="1">
      <c r="A28" s="99">
        <v>2</v>
      </c>
      <c r="B28" s="494">
        <f>IF($C28=""," ",VLOOKUP($C28,Mineralfutter!$A$11:$BE$25,3,FALSE))</f>
        <v>5</v>
      </c>
      <c r="C28" s="1697" t="s">
        <v>849</v>
      </c>
      <c r="D28" s="1698"/>
      <c r="E28" s="868">
        <v>81</v>
      </c>
      <c r="F28" s="1447">
        <v>3.5000000000000003E-2</v>
      </c>
      <c r="G28" s="1463">
        <f>IF(F28="","",I28/I$30)</f>
        <v>3.7942950064367501E-2</v>
      </c>
      <c r="H28" s="941">
        <f t="shared" si="0"/>
        <v>35</v>
      </c>
      <c r="I28" s="944">
        <f>IF($C28=""," ",VLOOKUP($C28,Mineralfutter!$A$11:$BE$25,5,FALSE)*$F28)</f>
        <v>33.6</v>
      </c>
      <c r="J28" s="249">
        <f>IF($C28=""," ",VLOOKUP($C28,Mineralfutter!$A$11:$BE$25,6,FALSE)*$F28)</f>
        <v>4.8827472804972816</v>
      </c>
      <c r="K28" s="249">
        <f>IF($C28=""," ",VLOOKUP($C28,Mineralfutter!$A$11:$BE$25,6,FALSE)*$F28)</f>
        <v>4.8827472804972816</v>
      </c>
      <c r="L28" s="249">
        <f>IF($C28=""," ",VLOOKUP($C28,Mineralfutter!$A$11:$BE$25,7,FALSE)*$F28)</f>
        <v>0</v>
      </c>
      <c r="M28" s="1123">
        <f>IF($C28=""," ",IF(VLOOKUP($C28,Mineralfutter!$A$11:$BE$25,8,FALSE)=" ",0,VLOOKUP($C28,Mineralfutter!$A$11:$BE$25,8,FALSE)*$F28))</f>
        <v>0.10011225524475525</v>
      </c>
      <c r="N28" s="1123">
        <f>IF($C28=""," ",IF(VLOOKUP($C28,Mineralfutter!$A$11:$BE$25,8,FALSE)=" ",0,VLOOKUP($C28,Mineralfutter!$A$11:$BE$25,8,FALSE)*$F28))</f>
        <v>0.10011225524475525</v>
      </c>
      <c r="O28" s="250">
        <f>IF($C28=""," ",VLOOKUP($C28,Mineralfutter!$A$11:$BE$25,9,FALSE)*$F28)</f>
        <v>2.9750000000000001</v>
      </c>
      <c r="P28" s="250">
        <f>IF($C28=""," ",VLOOKUP($C28,Mineralfutter!$A$11:$BE$25,9,FALSE)*$F28)</f>
        <v>2.9750000000000001</v>
      </c>
      <c r="Q28" s="250">
        <f>IF($C28=""," ",VLOOKUP($C28,Mineralfutter!$A$11:$BE$25,10,FALSE)*$F28)</f>
        <v>0.56000000000000005</v>
      </c>
      <c r="R28" s="250">
        <f>IF($C28=""," ",VLOOKUP($C28,Mineralfutter!$A$11:$BE$25,10,FALSE)*$F28)</f>
        <v>0.56000000000000005</v>
      </c>
      <c r="S28" s="250">
        <f>IF($C28=""," ",VLOOKUP($C28,Mineralfutter!$A$11:$BE$25,11,FALSE)*$F28)</f>
        <v>1.2250000000000001</v>
      </c>
      <c r="T28" s="250">
        <f>IF($C28=""," ",VLOOKUP($C28,Mineralfutter!$A$11:$BE$25,11,FALSE)*$F28)</f>
        <v>1.2250000000000001</v>
      </c>
      <c r="U28" s="250">
        <f>IF($C28=""," ",VLOOKUP($C28,Mineralfutter!$A$11:$BE$25,12,FALSE)*$F28)</f>
        <v>0</v>
      </c>
      <c r="V28" s="250">
        <f>IF($C28=""," ",VLOOKUP($C28,Mineralfutter!$A$11:$BE$25,12,FALSE)*$F28)</f>
        <v>0</v>
      </c>
      <c r="W28" s="250">
        <f>IF($C28=""," ",VLOOKUP($C28,Mineralfutter!$A$11:$BE$25,13,FALSE)*$F28)</f>
        <v>5.0750000000000002</v>
      </c>
      <c r="X28" s="250">
        <f>IF($C28=""," ",VLOOKUP($C28,Mineralfutter!$A$11:$BE$25,14,FALSE)*$F28)</f>
        <v>0.35000000000000003</v>
      </c>
      <c r="Y28" s="250">
        <f>IF($C28=""," ",VLOOKUP($C28,Mineralfutter!$A$11:$BE$25,15,FALSE)*$F28)</f>
        <v>0.28000000000000003</v>
      </c>
      <c r="Z28" s="250">
        <f>IF($C28=""," ",VLOOKUP($C28,Mineralfutter!$A$11:$BE$25,15,FALSE)*$F28)</f>
        <v>0.28000000000000003</v>
      </c>
      <c r="AA28" s="250">
        <f>IF($C28=""," ",VLOOKUP($C28,Mineralfutter!$A$11:$BE$25,16,FALSE)*$F28)</f>
        <v>0</v>
      </c>
      <c r="AB28" s="1302">
        <f>IF($C28=""," ",VLOOKUP($C28,Mineralfutter!$A$11:$BE$25,17,FALSE)*$F28)</f>
        <v>1.7500000000000002</v>
      </c>
      <c r="AC28" s="484">
        <f t="shared" si="3"/>
        <v>2.8350000000000004</v>
      </c>
    </row>
    <row r="29" spans="1:29" ht="19" customHeight="1" thickBot="1">
      <c r="B29" s="495" t="str">
        <f>IF($C29=""," ",VLOOKUP($C29,Mineralfutter!$A$11:$BE$25,3,FALSE))</f>
        <v xml:space="preserve"> </v>
      </c>
      <c r="C29" s="1699"/>
      <c r="D29" s="1700"/>
      <c r="E29" s="869"/>
      <c r="F29" s="820"/>
      <c r="G29" s="1446" t="str">
        <f>IF(F29="","",I29/I$30)</f>
        <v/>
      </c>
      <c r="H29" s="942" t="str">
        <f t="shared" si="0"/>
        <v xml:space="preserve"> </v>
      </c>
      <c r="I29" s="945" t="str">
        <f>IF($C29=""," ",VLOOKUP($C29,Mineralfutter!$A$11:$BE$25,5,FALSE)*$F29)</f>
        <v xml:space="preserve"> </v>
      </c>
      <c r="J29" s="804" t="str">
        <f>IF($C29=""," ",VLOOKUP($C29,Mineralfutter!$A$11:$BE$25,6,FALSE)*$F29)</f>
        <v xml:space="preserve"> </v>
      </c>
      <c r="K29" s="804" t="str">
        <f>IF($C29=""," ",VLOOKUP($C29,Mineralfutter!$A$11:$BE$25,6,FALSE)*$F29)</f>
        <v xml:space="preserve"> </v>
      </c>
      <c r="L29" s="804" t="str">
        <f>IF($C29=""," ",VLOOKUP($C29,Mineralfutter!$A$11:$BE$25,7,FALSE)*$F29)</f>
        <v xml:space="preserve"> </v>
      </c>
      <c r="M29" s="1126" t="str">
        <f>IF($C29=""," ",IF(VLOOKUP($C29,Mineralfutter!$A$11:$BE$25,8,FALSE)=" ",0,VLOOKUP($C29,Mineralfutter!$A$11:$BE$25,8,FALSE)*$F29))</f>
        <v xml:space="preserve"> </v>
      </c>
      <c r="N29" s="1126" t="str">
        <f>IF($C29=""," ",IF(VLOOKUP($C29,Mineralfutter!$A$11:$BE$25,8,FALSE)=" ",0,VLOOKUP($C29,Mineralfutter!$A$11:$BE$25,8,FALSE)*$F29))</f>
        <v xml:space="preserve"> </v>
      </c>
      <c r="O29" s="843" t="str">
        <f>IF($C29=""," ",VLOOKUP($C29,Mineralfutter!$A$11:$BE$25,9,FALSE)*$F29)</f>
        <v xml:space="preserve"> </v>
      </c>
      <c r="P29" s="843" t="str">
        <f>IF($C29=""," ",VLOOKUP($C29,Mineralfutter!$A$11:$BE$25,9,FALSE)*$F29)</f>
        <v xml:space="preserve"> </v>
      </c>
      <c r="Q29" s="843" t="str">
        <f>IF($C29=""," ",VLOOKUP($C29,Mineralfutter!$A$11:$BE$25,10,FALSE)*$F29)</f>
        <v xml:space="preserve"> </v>
      </c>
      <c r="R29" s="843" t="str">
        <f>IF($C29=""," ",VLOOKUP($C29,Mineralfutter!$A$11:$BE$25,10,FALSE)*$F29)</f>
        <v xml:space="preserve"> </v>
      </c>
      <c r="S29" s="843" t="str">
        <f>IF($C29=""," ",VLOOKUP($C29,Mineralfutter!$A$11:$BE$25,11,FALSE)*$F29)</f>
        <v xml:space="preserve"> </v>
      </c>
      <c r="T29" s="843" t="str">
        <f>IF($C29=""," ",VLOOKUP($C29,Mineralfutter!$A$11:$BE$25,11,FALSE)*$F29)</f>
        <v xml:space="preserve"> </v>
      </c>
      <c r="U29" s="843" t="str">
        <f>IF($C29=""," ",VLOOKUP($C29,Mineralfutter!$A$11:$BE$25,12,FALSE)*$F29)</f>
        <v xml:space="preserve"> </v>
      </c>
      <c r="V29" s="843" t="str">
        <f>IF($C29=""," ",VLOOKUP($C29,Mineralfutter!$A$11:$BE$25,12,FALSE)*$F29)</f>
        <v xml:space="preserve"> </v>
      </c>
      <c r="W29" s="843" t="str">
        <f>IF($C29=""," ",VLOOKUP($C29,Mineralfutter!$A$11:$BE$25,13,FALSE)*$F29)</f>
        <v xml:space="preserve"> </v>
      </c>
      <c r="X29" s="843" t="str">
        <f>IF($C29=""," ",VLOOKUP($C29,Mineralfutter!$A$11:$BE$25,14,FALSE)*$F29)</f>
        <v xml:space="preserve"> </v>
      </c>
      <c r="Y29" s="843" t="str">
        <f>IF($C29=""," ",VLOOKUP($C29,Mineralfutter!$A$11:$BE$25,15,FALSE)*$F29)</f>
        <v xml:space="preserve"> </v>
      </c>
      <c r="Z29" s="843" t="str">
        <f>IF($C29=""," ",VLOOKUP($C29,Mineralfutter!$A$11:$BE$25,15,FALSE)*$F29)</f>
        <v xml:space="preserve"> </v>
      </c>
      <c r="AA29" s="843" t="str">
        <f>IF($C29=""," ",VLOOKUP($C29,Mineralfutter!$A$11:$BE$25,16,FALSE)*$F29)</f>
        <v xml:space="preserve"> </v>
      </c>
      <c r="AB29" s="1306" t="str">
        <f>IF($C29=""," ",VLOOKUP($C29,Mineralfutter!$A$11:$BE$25,17,FALSE)*$F29)</f>
        <v xml:space="preserve"> </v>
      </c>
      <c r="AC29" s="950" t="str">
        <f t="shared" si="3"/>
        <v xml:space="preserve"> </v>
      </c>
    </row>
    <row r="30" spans="1:29" ht="19" customHeight="1" thickBot="1">
      <c r="B30" s="489"/>
      <c r="C30" s="1684" t="s">
        <v>27</v>
      </c>
      <c r="D30" s="1665"/>
      <c r="E30" s="509">
        <f>AC30</f>
        <v>19.0427</v>
      </c>
      <c r="F30" s="510">
        <f>IF(SUM(F13:F29,F36:F37)=0," ",SUM(F13:F29,F36:F37))</f>
        <v>1</v>
      </c>
      <c r="G30" s="1443"/>
      <c r="H30" s="826"/>
      <c r="I30" s="821">
        <f>IF(F30=" "," ",SUM(I13:I29,I36*$F36,I37*$F37))</f>
        <v>885.54000000000008</v>
      </c>
      <c r="J30" s="816">
        <f t="shared" ref="J30:AB30" si="4">IF(I30=" "," ",SUM(J13:J29,J36*$F36,J37*$F37))</f>
        <v>164.33674728049729</v>
      </c>
      <c r="K30" s="816">
        <f t="shared" si="4"/>
        <v>137.43206728049731</v>
      </c>
      <c r="L30" s="816">
        <f t="shared" si="4"/>
        <v>36.916000000000004</v>
      </c>
      <c r="M30" s="1122">
        <f>IF(L30=" "," ",SUM(M13:M29,N36*$F36,N37*$F37))</f>
        <v>13.272026620244754</v>
      </c>
      <c r="N30" s="1122">
        <f>IF(F30=" "," ",SUM(N13:N29,N36*$F36,N37*$F37))</f>
        <v>13.264975816244757</v>
      </c>
      <c r="O30" s="859">
        <f>IF(M30=" "," ",SUM(O13:O29,O36*$F36,O37*$F37))</f>
        <v>10.126104645454545</v>
      </c>
      <c r="P30" s="859">
        <f t="shared" si="4"/>
        <v>9.0617395775454543</v>
      </c>
      <c r="Q30" s="859">
        <f t="shared" si="4"/>
        <v>5.851309650000001</v>
      </c>
      <c r="R30" s="859">
        <f t="shared" si="4"/>
        <v>5.1209117332402165</v>
      </c>
      <c r="S30" s="859">
        <f t="shared" si="4"/>
        <v>6.6797887136363627</v>
      </c>
      <c r="T30" s="859">
        <f t="shared" si="4"/>
        <v>5.8805039737272722</v>
      </c>
      <c r="U30" s="859">
        <f t="shared" si="4"/>
        <v>2.109185077272727</v>
      </c>
      <c r="V30" s="859">
        <f t="shared" si="4"/>
        <v>1.7910786464545452</v>
      </c>
      <c r="W30" s="859">
        <f t="shared" si="4"/>
        <v>6.0532699997978723</v>
      </c>
      <c r="X30" s="859">
        <f t="shared" si="4"/>
        <v>4.096218708289598</v>
      </c>
      <c r="Y30" s="859">
        <f t="shared" si="4"/>
        <v>2.1712507017066436</v>
      </c>
      <c r="Z30" s="859">
        <f t="shared" si="4"/>
        <v>2.7150421603882391</v>
      </c>
      <c r="AA30" s="859">
        <f t="shared" si="4"/>
        <v>1.320918042651015</v>
      </c>
      <c r="AB30" s="1307">
        <f t="shared" si="4"/>
        <v>1.92269325862069</v>
      </c>
      <c r="AC30" s="1299">
        <f>IF(SUM(AC13:AC29,AC36:AC37)=0," ",SUM(AC13:AC29,AC36:AC37))</f>
        <v>19.0427</v>
      </c>
    </row>
    <row r="31" spans="1:29" ht="19" customHeight="1" thickBot="1">
      <c r="B31" s="495"/>
      <c r="C31" s="1684" t="s">
        <v>249</v>
      </c>
      <c r="D31" s="1665"/>
      <c r="E31" s="511">
        <f>AC31</f>
        <v>18.923567540709623</v>
      </c>
      <c r="F31" s="510">
        <f>F30</f>
        <v>1</v>
      </c>
      <c r="G31" s="1449"/>
      <c r="H31" s="823"/>
      <c r="I31" s="508">
        <v>880</v>
      </c>
      <c r="J31" s="251">
        <f>IF($F31=" "," ",ROUND($I31*J30/$I30*$F31,0))</f>
        <v>163</v>
      </c>
      <c r="K31" s="251">
        <f>IF($F31=" "," ",ROUND($I31*K30/$I30*$F31,0))</f>
        <v>137</v>
      </c>
      <c r="L31" s="251">
        <f>IF($F31=" "," ",ROUND($I31*L30/$I30*$F31,0))</f>
        <v>37</v>
      </c>
      <c r="M31" s="1434">
        <f>IF($F31=" "," ",ROUND($I31*M30/$I30*$F31,2))</f>
        <v>13.19</v>
      </c>
      <c r="N31" s="1324">
        <f>IF($F31=" "," ",ROUND($I31*N30/$I30*$F31,2))</f>
        <v>13.18</v>
      </c>
      <c r="O31" s="253">
        <f t="shared" ref="O31:AB31" si="5">IF($F31=" "," ",ROUND($I31*O30/$I30*$F31,1))</f>
        <v>10.1</v>
      </c>
      <c r="P31" s="252">
        <f t="shared" si="5"/>
        <v>9</v>
      </c>
      <c r="Q31" s="253">
        <f t="shared" si="5"/>
        <v>5.8</v>
      </c>
      <c r="R31" s="253">
        <f t="shared" si="5"/>
        <v>5.0999999999999996</v>
      </c>
      <c r="S31" s="253">
        <f t="shared" si="5"/>
        <v>6.6</v>
      </c>
      <c r="T31" s="253">
        <f t="shared" si="5"/>
        <v>5.8</v>
      </c>
      <c r="U31" s="253">
        <f t="shared" si="5"/>
        <v>2.1</v>
      </c>
      <c r="V31" s="253">
        <f t="shared" si="5"/>
        <v>1.8</v>
      </c>
      <c r="W31" s="252">
        <f t="shared" si="5"/>
        <v>6</v>
      </c>
      <c r="X31" s="253">
        <f t="shared" si="5"/>
        <v>4.0999999999999996</v>
      </c>
      <c r="Y31" s="252">
        <f t="shared" si="5"/>
        <v>2.2000000000000002</v>
      </c>
      <c r="Z31" s="1505">
        <f t="shared" si="5"/>
        <v>2.7</v>
      </c>
      <c r="AA31" s="253">
        <f t="shared" si="5"/>
        <v>1.3</v>
      </c>
      <c r="AB31" s="1308">
        <f t="shared" si="5"/>
        <v>1.9</v>
      </c>
      <c r="AC31" s="1300">
        <f>IF(AC30=" "," ",AC30*I31/I30)</f>
        <v>18.923567540709623</v>
      </c>
    </row>
    <row r="32" spans="1:29" ht="19" customHeight="1" thickBot="1">
      <c r="B32" s="496" t="s">
        <v>235</v>
      </c>
      <c r="C32" s="1664" t="s">
        <v>617</v>
      </c>
      <c r="D32" s="1665"/>
      <c r="E32" s="1665"/>
      <c r="F32" s="1452"/>
      <c r="G32" s="1451"/>
      <c r="H32" s="254"/>
      <c r="I32" s="249"/>
      <c r="J32" s="249"/>
      <c r="K32" s="249"/>
      <c r="L32" s="250"/>
      <c r="M32" s="1513"/>
      <c r="N32" s="1325"/>
      <c r="O32" s="255"/>
      <c r="P32" s="250"/>
      <c r="Q32" s="250"/>
      <c r="R32" s="250"/>
      <c r="S32" s="250"/>
      <c r="T32" s="250"/>
      <c r="U32" s="250"/>
      <c r="V32" s="250"/>
      <c r="W32" s="255"/>
      <c r="X32" s="250"/>
      <c r="Y32" s="250"/>
      <c r="Z32" s="250"/>
      <c r="AA32" s="250"/>
      <c r="AB32" s="1302"/>
      <c r="AC32" s="256"/>
    </row>
    <row r="33" spans="1:46" ht="19" customHeight="1">
      <c r="B33" s="494">
        <f>IF($C33=""," ",VLOOKUP($C33,Orientierungswerte!A13:AZ117,2,FALSE))</f>
        <v>10</v>
      </c>
      <c r="C33" s="1701" t="s">
        <v>1069</v>
      </c>
      <c r="D33" s="1702"/>
      <c r="E33" s="514" t="s">
        <v>28</v>
      </c>
      <c r="F33" s="1448">
        <f>F30</f>
        <v>1</v>
      </c>
      <c r="G33" s="1463"/>
      <c r="H33" s="824"/>
      <c r="I33" s="512">
        <f>I31</f>
        <v>880</v>
      </c>
      <c r="J33" s="1540">
        <f>IF($C33=""," ",ROUND(VLOOKUP($C$33,Orientierungswerte!$A$13:$AZ$117,5,FALSE)*$F$33,0))</f>
        <v>163</v>
      </c>
      <c r="K33" s="487">
        <f>IF($C33=""," ",ROUND(VLOOKUP($C$33,Orientierungswerte!$A$13:$AZ$117,6,FALSE)*$F$33,0))</f>
        <v>143</v>
      </c>
      <c r="L33" s="487">
        <f>IF($C33=""," ",ROUND(VLOOKUP($C33,Orientierungswerte!$A$13:$AZ$117,28,FALSE)*$F$33,0))</f>
        <v>40</v>
      </c>
      <c r="M33" s="1435">
        <f>IF($C33=""," ",ROUND(VLOOKUP($C$33,Orientierungswerte!$A$13:$AZ$117,4,FALSE)*$F$33,2))</f>
        <v>13.2</v>
      </c>
      <c r="N33" s="1326">
        <f>IF($C33=""," ",ROUND(VLOOKUP($C$33,Orientierungswerte!$A$13:$AZ$117,4,FALSE)*$F$33,2))</f>
        <v>13.2</v>
      </c>
      <c r="O33" s="486">
        <f>IF($C33=""," ",ROUND(VLOOKUP($C$33,Orientierungswerte!$A$13:$AZ$117,7,FALSE)*$F$33,1))</f>
        <v>10.199999999999999</v>
      </c>
      <c r="P33" s="257">
        <f>IF($C33=""," ",ROUND(VLOOKUP($C$33,Orientierungswerte!$A$13:$AZ$117,8,FALSE)*$F$33,1))</f>
        <v>8.9</v>
      </c>
      <c r="Q33" s="486">
        <f>IF($C33=""," ",ROUND(VLOOKUP($C$33,Orientierungswerte!$A$13:$AZ$117,9,FALSE)*$F$33,1))</f>
        <v>5.6</v>
      </c>
      <c r="R33" s="486">
        <f>IF($C33=""," ",ROUND(VLOOKUP($C$33,Orientierungswerte!$A$13:$AZ$117,10,FALSE)*$F$33,1))</f>
        <v>4.9000000000000004</v>
      </c>
      <c r="S33" s="486">
        <f>IF($C33=""," ",ROUND(VLOOKUP($C$33,Orientierungswerte!$A$13:$AZ$117,11,FALSE)*$F$33,1))</f>
        <v>6.6</v>
      </c>
      <c r="T33" s="486">
        <f>IF($C33=""," ",ROUND(VLOOKUP($C$33,Orientierungswerte!$A$13:$AZ$117,12,FALSE)*$F$33,1))</f>
        <v>5.8</v>
      </c>
      <c r="U33" s="486">
        <f>IF($C33=""," ",ROUND(VLOOKUP($C$33,Orientierungswerte!$A$13:$AZ$117,13,FALSE)*$F$33,1))</f>
        <v>1.8</v>
      </c>
      <c r="V33" s="486">
        <f>IF($C33=""," ",ROUND(VLOOKUP($C$33,Orientierungswerte!$A$13:$AZ$117,14,FALSE)*$F$33,1))</f>
        <v>1.6</v>
      </c>
      <c r="W33" s="257">
        <f>IF($C33=""," ",ROUND(VLOOKUP($C$33,Orientierungswerte!$A$13:$AZ$117,15,FALSE)*$F$33,1))</f>
        <v>5.9</v>
      </c>
      <c r="X33" s="486">
        <f>IF($C33=""," ",ROUND(VLOOKUP($C$33,Orientierungswerte!$A$13:$AZ$117,16,FALSE)*$F$33,1))</f>
        <v>4.4000000000000004</v>
      </c>
      <c r="Y33" s="257">
        <f>IF($C33=""," ",ROUND(VLOOKUP($C$33,Orientierungswerte!$A$13:$AZ$117,17,FALSE)*$F$33,1))</f>
        <v>2.7</v>
      </c>
      <c r="Z33" s="808">
        <f>IF($C33=""," ",ROUND(VLOOKUP($C$33,Orientierungswerte!$A$13:$AZ$117,17,FALSE)*$F$33,1))</f>
        <v>2.7</v>
      </c>
      <c r="AA33" s="486">
        <f>IF($C33=""," ",ROUND(VLOOKUP($C$33,Orientierungswerte!$A$13:$AZ$117,18,FALSE)*$F$33,1))</f>
        <v>1</v>
      </c>
      <c r="AB33" s="1311">
        <f>IF($C33=""," ",ROUND(VLOOKUP($C$33,Orientierungswerte!$A$13:$AZ$117,19,FALSE)*$F$33,1))</f>
        <v>1.8</v>
      </c>
      <c r="AC33" s="1309" t="s">
        <v>28</v>
      </c>
    </row>
    <row r="34" spans="1:46" ht="19" customHeight="1" thickBot="1">
      <c r="B34" s="497"/>
      <c r="C34" s="1689" t="s">
        <v>250</v>
      </c>
      <c r="D34" s="1663"/>
      <c r="E34" s="516" t="s">
        <v>28</v>
      </c>
      <c r="F34" s="517">
        <f>IF($C$33=""," ",ROUND((1-F31)*-1,4))</f>
        <v>0</v>
      </c>
      <c r="G34" s="1446"/>
      <c r="H34" s="825"/>
      <c r="I34" s="513">
        <f>IF($C$33=""," ",ROUND(I31-I33,))</f>
        <v>0</v>
      </c>
      <c r="J34" s="816">
        <f>IF($C$33=""," ",ROUND(J31-J33,))</f>
        <v>0</v>
      </c>
      <c r="K34" s="258">
        <f>IF($C$33=""," ",ROUND(K31-K33,0))</f>
        <v>-6</v>
      </c>
      <c r="L34" s="258">
        <f>IF($C$33=""," ",ROUND(L31-L33,0))</f>
        <v>-3</v>
      </c>
      <c r="M34" s="1436">
        <f>IF($C$33=""," ",ROUND(M31-M33,2))</f>
        <v>-0.01</v>
      </c>
      <c r="N34" s="1327">
        <f>IF($C$33=""," ",ROUND(N31-N33,2))</f>
        <v>-0.02</v>
      </c>
      <c r="O34" s="260">
        <f t="shared" ref="O34:AB34" si="6">IF($C$33=""," ",ROUND(O31-O33,1))</f>
        <v>-0.1</v>
      </c>
      <c r="P34" s="259">
        <f t="shared" si="6"/>
        <v>0.1</v>
      </c>
      <c r="Q34" s="260">
        <f t="shared" si="6"/>
        <v>0.2</v>
      </c>
      <c r="R34" s="260">
        <f t="shared" si="6"/>
        <v>0.2</v>
      </c>
      <c r="S34" s="260">
        <f t="shared" si="6"/>
        <v>0</v>
      </c>
      <c r="T34" s="260">
        <f t="shared" si="6"/>
        <v>0</v>
      </c>
      <c r="U34" s="260">
        <f t="shared" si="6"/>
        <v>0.3</v>
      </c>
      <c r="V34" s="260">
        <f t="shared" si="6"/>
        <v>0.2</v>
      </c>
      <c r="W34" s="259">
        <f t="shared" si="6"/>
        <v>0.1</v>
      </c>
      <c r="X34" s="260">
        <f t="shared" si="6"/>
        <v>-0.3</v>
      </c>
      <c r="Y34" s="259">
        <f t="shared" si="6"/>
        <v>-0.5</v>
      </c>
      <c r="Z34" s="877">
        <f t="shared" si="6"/>
        <v>0</v>
      </c>
      <c r="AA34" s="260">
        <f t="shared" si="6"/>
        <v>0.3</v>
      </c>
      <c r="AB34" s="1312">
        <f t="shared" si="6"/>
        <v>0.1</v>
      </c>
      <c r="AC34" s="1310" t="s">
        <v>28</v>
      </c>
    </row>
    <row r="35" spans="1:46" ht="13" thickBot="1">
      <c r="B35" s="1696" t="s">
        <v>363</v>
      </c>
      <c r="C35" s="1676"/>
      <c r="D35" s="1676"/>
      <c r="E35" s="1676"/>
      <c r="F35" s="519" t="s">
        <v>212</v>
      </c>
      <c r="G35" s="1443"/>
      <c r="H35" s="822"/>
      <c r="I35" s="458"/>
      <c r="J35" s="459" t="str">
        <f>IF(F$36=0," ",O35*954/780+Q35*584/990+S35*731/980+U35*853/980)</f>
        <v xml:space="preserve"> </v>
      </c>
      <c r="K35" s="459" t="str">
        <f>IF(F$36=0," ",IF(J35&gt;200,J35*0.8,J35))</f>
        <v xml:space="preserve"> </v>
      </c>
      <c r="L35" s="236"/>
      <c r="M35" s="460" t="str">
        <f>IF(F$36=0," ",O35*21.3/780+Q35*13/990+S35*16.3/980+U35*19/980)</f>
        <v xml:space="preserve"> </v>
      </c>
      <c r="N35" s="460"/>
      <c r="O35" s="50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507"/>
      <c r="AC35" s="507"/>
    </row>
    <row r="36" spans="1:46" ht="19" customHeight="1" thickBot="1">
      <c r="B36" s="499"/>
      <c r="C36" s="1293" t="s">
        <v>361</v>
      </c>
      <c r="D36" s="504"/>
      <c r="E36" s="1086"/>
      <c r="F36" s="1087"/>
      <c r="G36" s="1443" t="str">
        <f>IF(F36="","",I36*F36/I$30)</f>
        <v/>
      </c>
      <c r="H36" s="1088" t="str">
        <f>IF(F36=""," ",$H$8*F36*1000)</f>
        <v xml:space="preserve"> </v>
      </c>
      <c r="I36" s="1089">
        <f>IF($F36=0,0,960)</f>
        <v>0</v>
      </c>
      <c r="J36" s="487">
        <f>IF($F36=0,0,O36*954/780+Q36*584/990+S36*731/980+U36*853/980)</f>
        <v>0</v>
      </c>
      <c r="K36" s="487">
        <f>IF(F$36=0,0,J36)</f>
        <v>0</v>
      </c>
      <c r="L36" s="487"/>
      <c r="M36" s="486">
        <f>IF($F36=0,0,O36*19.56/780+Q36*11.97/990+S36*14.99/980+U36*17.49/980)</f>
        <v>0</v>
      </c>
      <c r="N36" s="486">
        <f>M36</f>
        <v>0</v>
      </c>
      <c r="O36" s="1090"/>
      <c r="P36" s="487">
        <f>O36</f>
        <v>0</v>
      </c>
      <c r="Q36" s="1090"/>
      <c r="R36" s="487">
        <f>Q36</f>
        <v>0</v>
      </c>
      <c r="S36" s="1090"/>
      <c r="T36" s="487">
        <f>S36</f>
        <v>0</v>
      </c>
      <c r="U36" s="1090"/>
      <c r="V36" s="487">
        <f>U36</f>
        <v>0</v>
      </c>
      <c r="W36" s="1090"/>
      <c r="X36" s="1090"/>
      <c r="Y36" s="487">
        <f>IF(F36=0,0,X36*0.8)</f>
        <v>0</v>
      </c>
      <c r="Z36" s="487">
        <f>Y36</f>
        <v>0</v>
      </c>
      <c r="AA36" s="1090"/>
      <c r="AB36" s="1315"/>
      <c r="AC36" s="1313">
        <f>IF(F36*E36=0,0,F36*E36)</f>
        <v>0</v>
      </c>
      <c r="AD36" s="234"/>
    </row>
    <row r="37" spans="1:46" ht="19" customHeight="1" thickBot="1">
      <c r="B37" s="500"/>
      <c r="C37" s="505" t="s">
        <v>362</v>
      </c>
      <c r="D37" s="503">
        <v>0.85</v>
      </c>
      <c r="E37" s="870"/>
      <c r="F37" s="518"/>
      <c r="G37" s="1449" t="str">
        <f>IF(F37="","",I37*F37/I$30)</f>
        <v/>
      </c>
      <c r="H37" s="1085" t="str">
        <f>IF(F37=""," ",$H$8*F37*1000)</f>
        <v xml:space="preserve"> </v>
      </c>
      <c r="I37" s="946">
        <f>IF($F37=0,0,890)</f>
        <v>0</v>
      </c>
      <c r="J37" s="947"/>
      <c r="K37" s="498">
        <f>IF(F37=0,0,J37*D37)</f>
        <v>0</v>
      </c>
      <c r="L37" s="947"/>
      <c r="M37" s="860">
        <f>N37</f>
        <v>0</v>
      </c>
      <c r="N37" s="1635"/>
      <c r="O37" s="947"/>
      <c r="P37" s="498">
        <f>IF(O37=0,0,O37*D37)</f>
        <v>0</v>
      </c>
      <c r="Q37" s="947"/>
      <c r="R37" s="498">
        <f>IF(Q37=0,0,Q37*D37)</f>
        <v>0</v>
      </c>
      <c r="S37" s="947"/>
      <c r="T37" s="498">
        <f>IF(S37=0,0,S37*D37)</f>
        <v>0</v>
      </c>
      <c r="U37" s="947"/>
      <c r="V37" s="498">
        <f>IF(U37=0,0,U37*D37)</f>
        <v>0</v>
      </c>
      <c r="W37" s="947"/>
      <c r="X37" s="947"/>
      <c r="Y37" s="498">
        <f>IF(F37=0,0,X37*0.65)</f>
        <v>0</v>
      </c>
      <c r="Z37" s="498">
        <f>IF(F37=0,0,X37*0.65)</f>
        <v>0</v>
      </c>
      <c r="AA37" s="947"/>
      <c r="AB37" s="1316"/>
      <c r="AC37" s="1314">
        <f>IF(F37*E37=0,0,F37*E37)</f>
        <v>0</v>
      </c>
      <c r="AD37" s="234"/>
    </row>
    <row r="38" spans="1:46" s="261" customFormat="1" ht="19" customHeight="1" thickBot="1">
      <c r="B38" s="1692" t="s">
        <v>364</v>
      </c>
      <c r="V38" s="262"/>
      <c r="X38" s="1675" t="s">
        <v>230</v>
      </c>
      <c r="Y38" s="1676"/>
    </row>
    <row r="39" spans="1:46" s="261" customFormat="1" ht="19" customHeight="1" thickBot="1">
      <c r="B39" s="1693"/>
      <c r="F39" s="1687" t="s">
        <v>228</v>
      </c>
      <c r="G39" s="1688"/>
      <c r="H39" s="262"/>
      <c r="I39" s="1651" t="s">
        <v>369</v>
      </c>
      <c r="J39" s="1651"/>
      <c r="K39" s="263"/>
      <c r="L39" s="1677" t="s">
        <v>967</v>
      </c>
      <c r="M39" s="1678"/>
      <c r="N39" s="1678"/>
      <c r="O39" s="1678"/>
      <c r="P39" s="1678"/>
      <c r="Q39" s="1678"/>
      <c r="R39" s="1678"/>
      <c r="S39" s="263"/>
      <c r="T39" s="1651" t="s">
        <v>229</v>
      </c>
      <c r="U39" s="1651"/>
      <c r="V39" s="262"/>
      <c r="W39" s="1468" t="s">
        <v>864</v>
      </c>
      <c r="X39" s="874">
        <f>IF(F30=" "," ",W30/Z30)</f>
        <v>2.2295307557700252</v>
      </c>
      <c r="Y39" s="875">
        <f>IF(F30=0," ",1)</f>
        <v>1</v>
      </c>
      <c r="Z39" s="1685" t="s">
        <v>474</v>
      </c>
      <c r="AA39" s="1686"/>
      <c r="AB39" s="1686"/>
      <c r="AC39" s="1686"/>
    </row>
    <row r="40" spans="1:46" s="264" customFormat="1" ht="19" customHeight="1" thickBot="1">
      <c r="B40" s="265">
        <f>IF(F30=" "," ",P31/O31)</f>
        <v>0.8910891089108911</v>
      </c>
      <c r="C40" s="1658" t="s">
        <v>248</v>
      </c>
      <c r="D40" s="1653"/>
      <c r="F40" s="266">
        <f>IF(F30=" "," ",O31/M31)</f>
        <v>0.76573161485974228</v>
      </c>
      <c r="G40" s="267">
        <f>IF(F30&lt;=0," ",1)</f>
        <v>1</v>
      </c>
      <c r="H40" s="268"/>
      <c r="I40" s="266">
        <f>IF(F30=" "," ",P31/M31)</f>
        <v>0.6823351023502654</v>
      </c>
      <c r="J40" s="267">
        <f>IF(L30&lt;=0," ",1)</f>
        <v>1</v>
      </c>
      <c r="L40" s="269">
        <f>IF(F30&lt;=0," ",1)</f>
        <v>1</v>
      </c>
      <c r="M40" s="270" t="s">
        <v>167</v>
      </c>
      <c r="N40" s="271">
        <f>IF(F30=" "," ",R30/P30)</f>
        <v>0.56511354022240767</v>
      </c>
      <c r="O40" s="270" t="s">
        <v>167</v>
      </c>
      <c r="P40" s="271">
        <f>IF(F30=" "," ",T30/P30)</f>
        <v>0.64893764860544789</v>
      </c>
      <c r="Q40" s="270" t="s">
        <v>167</v>
      </c>
      <c r="R40" s="272">
        <f>IF(F30=" "," ",V30/P30)</f>
        <v>0.1976528492269575</v>
      </c>
      <c r="T40" s="266">
        <f>IF(F30=" "," ",W30/X30)</f>
        <v>1.4777702146488787</v>
      </c>
      <c r="U40" s="267">
        <f>IF(F30=0," ",1)</f>
        <v>1</v>
      </c>
      <c r="V40" s="268"/>
      <c r="W40" s="876" t="s">
        <v>625</v>
      </c>
      <c r="X40" s="872">
        <f>IF(F30=" "," ",W30/Y30)</f>
        <v>2.7879185001713016</v>
      </c>
      <c r="Y40" s="873">
        <f>IF(F30=0," ",1)</f>
        <v>1</v>
      </c>
      <c r="AA40" s="266">
        <f>IF(L30=" "," ",P31*100/J31)</f>
        <v>5.5214723926380369</v>
      </c>
      <c r="AB40" s="267">
        <f>IF(L30=0," ",100)</f>
        <v>100</v>
      </c>
    </row>
    <row r="41" spans="1:46" ht="19" customHeight="1" thickBot="1">
      <c r="B41" s="265">
        <f>IF(P33=" "," ",P33/O33)</f>
        <v>0.87254901960784326</v>
      </c>
      <c r="C41" s="1652" t="s">
        <v>665</v>
      </c>
      <c r="D41" s="1653"/>
      <c r="F41" s="266">
        <f>IF($B$33=" "," ",ROUND(VLOOKUP($B$33,Orientierungswerte!$B$13:$X$105,23,TRUE),2))</f>
        <v>0.77</v>
      </c>
      <c r="G41" s="267">
        <f>IF($B$33=" ",1,ROUND(VLOOKUP($B$33,Orientierungswerte!$B$13:$X$105,19,TRUE),2))</f>
        <v>1</v>
      </c>
      <c r="H41" s="268"/>
      <c r="I41" s="266">
        <f>IF($B$33=" "," ",ROUND(VLOOKUP($B$33,Orientierungswerte!$B$13:$AB$105,24,TRUE),2))</f>
        <v>0.68</v>
      </c>
      <c r="J41" s="267">
        <f>IF($B$33=" ",1,ROUND(VLOOKUP($B$33,Orientierungswerte!$B$13:$X$105,19,TRUE),2))</f>
        <v>1</v>
      </c>
      <c r="K41" s="264"/>
      <c r="L41" s="269">
        <f>IF($B$33=" ",1,ROUND(VLOOKUP($B$33,Orientierungswerte!$B$13:$X$105,19,TRUE),2))</f>
        <v>1</v>
      </c>
      <c r="M41" s="270" t="s">
        <v>167</v>
      </c>
      <c r="N41" s="271">
        <f>IF($B$33=" "," ",ROUND(VLOOKUP($B$33,Orientierungswerte!$B$13:$X$105,20,TRUE),2))</f>
        <v>0.55000000000000004</v>
      </c>
      <c r="O41" s="270" t="s">
        <v>167</v>
      </c>
      <c r="P41" s="271">
        <f>IF($B$33=" "," ",ROUND(VLOOKUP($B$33,Orientierungswerte!$B$13:$X$105,21,TRUE),2))</f>
        <v>0.65</v>
      </c>
      <c r="Q41" s="270" t="s">
        <v>167</v>
      </c>
      <c r="R41" s="272">
        <f>IF($B$33=" "," ",ROUND(VLOOKUP($B$33,Orientierungswerte!$B$13:$X$105,22,TRUE),2))</f>
        <v>0.18</v>
      </c>
      <c r="S41" s="264"/>
      <c r="T41" s="266">
        <f>IF($B$33=" "," ",ROUND(VLOOKUP($B$33,Orientierungswerte!$B$13:$AA$105,25,TRUE),2))</f>
        <v>1.35</v>
      </c>
      <c r="U41" s="267">
        <f>IF($B$33=" ",1,ROUND(VLOOKUP($B$33,Orientierungswerte!$B$13:$X$105,19,TRUE),2))</f>
        <v>1</v>
      </c>
      <c r="V41" s="268"/>
      <c r="W41" s="273"/>
      <c r="X41" s="266">
        <f>IF($B$33=" "," ",ROUND(VLOOKUP($B$33,Orientierungswerte!$B$13:$AA$105,26,TRUE),2))</f>
        <v>2.2000000000000002</v>
      </c>
      <c r="Y41" s="267">
        <f>IF($B$33=" ",1,ROUND(VLOOKUP($B$33,Orientierungswerte!$B$13:$X$105,19,TRUE),2))</f>
        <v>1</v>
      </c>
      <c r="AA41" s="266">
        <f>IF($B$33=" "," ",ROUND(P33*100/J33,2))</f>
        <v>5.46</v>
      </c>
      <c r="AB41" s="267">
        <f>IF($B$33=" ",1,ROUND(VLOOKUP($B$33,Orientierungswerte!$B$13:$X$105,19,TRUE)*100,0))</f>
        <v>100</v>
      </c>
    </row>
    <row r="42" spans="1:46" ht="40" customHeight="1">
      <c r="B42" s="811"/>
      <c r="C42" s="812"/>
      <c r="D42" s="813"/>
      <c r="E42" s="814"/>
      <c r="F42" s="268"/>
      <c r="G42" s="268"/>
      <c r="H42" s="268"/>
      <c r="I42" s="814"/>
      <c r="J42" s="268"/>
      <c r="K42" s="264"/>
      <c r="L42" s="268"/>
      <c r="M42" s="815"/>
      <c r="N42" s="814"/>
      <c r="O42" s="815"/>
      <c r="P42" s="814"/>
      <c r="Q42" s="815"/>
      <c r="R42" s="814"/>
      <c r="S42" s="264"/>
      <c r="T42" s="814"/>
      <c r="U42" s="268"/>
      <c r="V42" s="273"/>
      <c r="W42" s="814"/>
      <c r="X42" s="268"/>
      <c r="Z42" s="814"/>
      <c r="AA42" s="268"/>
    </row>
    <row r="43" spans="1:46" ht="40" customHeight="1" thickBot="1"/>
    <row r="44" spans="1:46" s="234" customFormat="1" ht="36">
      <c r="A44" s="1453"/>
      <c r="B44" s="1454"/>
      <c r="C44" s="1454"/>
      <c r="D44" s="1459"/>
      <c r="E44" s="1456" t="s">
        <v>211</v>
      </c>
      <c r="F44" s="237" t="s">
        <v>24</v>
      </c>
      <c r="G44" s="1455" t="s">
        <v>600</v>
      </c>
      <c r="H44" s="520" t="s">
        <v>601</v>
      </c>
      <c r="I44" s="791" t="s">
        <v>608</v>
      </c>
      <c r="J44" s="803" t="s">
        <v>681</v>
      </c>
      <c r="K44" s="803" t="s">
        <v>680</v>
      </c>
      <c r="L44" s="803" t="s">
        <v>609</v>
      </c>
      <c r="M44" s="803" t="s">
        <v>610</v>
      </c>
      <c r="N44" s="803" t="s">
        <v>611</v>
      </c>
      <c r="O44" s="803" t="s">
        <v>612</v>
      </c>
      <c r="P44" s="803" t="s">
        <v>718</v>
      </c>
      <c r="Q44" s="803" t="s">
        <v>719</v>
      </c>
      <c r="R44" s="803" t="s">
        <v>720</v>
      </c>
      <c r="S44" s="803" t="s">
        <v>742</v>
      </c>
      <c r="T44" s="803" t="s">
        <v>721</v>
      </c>
      <c r="U44" s="803" t="s">
        <v>618</v>
      </c>
      <c r="V44" s="803" t="s">
        <v>1015</v>
      </c>
      <c r="W44" s="803" t="s">
        <v>1014</v>
      </c>
      <c r="X44" s="803" t="s">
        <v>622</v>
      </c>
      <c r="Y44" s="803"/>
      <c r="Z44" s="803"/>
      <c r="AA44" s="1328" t="s">
        <v>1072</v>
      </c>
    </row>
    <row r="45" spans="1:46" ht="19" customHeight="1" thickBot="1">
      <c r="A45" s="244"/>
      <c r="B45" s="1561" t="s">
        <v>207</v>
      </c>
      <c r="C45" s="1656" t="s">
        <v>359</v>
      </c>
      <c r="D45" s="1657"/>
      <c r="E45" s="1457" t="s">
        <v>226</v>
      </c>
      <c r="F45" s="1458" t="s">
        <v>29</v>
      </c>
      <c r="G45" s="1659" t="s">
        <v>30</v>
      </c>
      <c r="H45" s="1660"/>
      <c r="I45" s="1660"/>
      <c r="J45" s="1660"/>
      <c r="K45" s="1660"/>
      <c r="L45" s="1660"/>
      <c r="M45" s="1660"/>
      <c r="N45" s="1660"/>
      <c r="O45" s="1661"/>
      <c r="P45" s="1672" t="s">
        <v>810</v>
      </c>
      <c r="Q45" s="1673"/>
      <c r="R45" s="1673"/>
      <c r="S45" s="1673"/>
      <c r="T45" s="1674"/>
      <c r="U45" s="1679" t="s">
        <v>30</v>
      </c>
      <c r="V45" s="1680"/>
      <c r="W45" s="1680"/>
      <c r="X45" s="1680"/>
      <c r="Y45" s="1680"/>
      <c r="Z45" s="1680"/>
      <c r="AA45" s="1681"/>
      <c r="AB45" s="812"/>
      <c r="AC45" s="1432"/>
      <c r="AD45" s="1432"/>
      <c r="AE45" s="1432"/>
      <c r="AF45" s="1432"/>
      <c r="AG45" s="1432"/>
      <c r="AH45" s="1432"/>
      <c r="AI45" s="1432"/>
      <c r="AJ45" s="1432"/>
      <c r="AK45" s="1432"/>
      <c r="AL45" s="1432"/>
      <c r="AM45" s="1432"/>
      <c r="AN45" s="1432"/>
      <c r="AO45" s="1432"/>
      <c r="AP45" s="1432"/>
      <c r="AQ45" s="1432"/>
      <c r="AR45" s="1432"/>
      <c r="AS45" s="1432"/>
      <c r="AT45" s="1460"/>
    </row>
    <row r="46" spans="1:46" ht="19" customHeight="1">
      <c r="B46" s="793">
        <f t="shared" ref="B46:B53" si="7">B13</f>
        <v>49</v>
      </c>
      <c r="C46" s="1654" t="str">
        <f t="shared" ref="C46:C56" si="8">IF(C13=""," ",C13)</f>
        <v>eigener Weizen 11% RP Ø 2016</v>
      </c>
      <c r="D46" s="1655"/>
      <c r="E46" s="797">
        <f t="shared" ref="E46:F53" si="9">IF(E13=""," ",E13)</f>
        <v>12.68</v>
      </c>
      <c r="F46" s="1317">
        <f t="shared" si="9"/>
        <v>0.52</v>
      </c>
      <c r="G46" s="248">
        <f>IF($C13=""," ",VLOOKUP(C13,Futtermittel!$A$8:$CG$171,29,FALSE)*$F13)</f>
        <v>0.86125000000000018</v>
      </c>
      <c r="H46" s="248">
        <f>IF($C13=""," ",VLOOKUP(C13,Futtermittel!$A$8:$CG$171,30,FALSE)*$F13)</f>
        <v>0.75790000000000013</v>
      </c>
      <c r="I46" s="247">
        <f>IF($C13=""," ",VLOOKUP(C13,Futtermittel!$A$8:$CG$171,31,FALSE)*$F13)</f>
        <v>9.3079999999999998</v>
      </c>
      <c r="J46" s="247">
        <f>IF($C13=""," ",VLOOKUP(C13,Futtermittel!$A$8:$CG$171,32,FALSE)*$F13)</f>
        <v>312.52000000000004</v>
      </c>
      <c r="K46" s="247">
        <f>IF($C13=""," ",VLOOKUP(C13,Futtermittel!$A$8:$CG$171,33,FALSE)*$F13)</f>
        <v>14.456000000000001</v>
      </c>
      <c r="L46" s="247">
        <f>IF($C13=""," ",VLOOKUP(C13,Futtermittel!$A$8:$CG$171,34,FALSE)*$F13)</f>
        <v>8.7880000000000003</v>
      </c>
      <c r="M46" s="248">
        <f>IF($C13=""," ",VLOOKUP($C13,Futtermittel!$A$8:$CG$171,37,FALSE)*$F13)</f>
        <v>5.6420000000000003</v>
      </c>
      <c r="N46" s="248">
        <f>IF($C13=""," ",VLOOKUP($C13,Futtermittel!$A$8:$CG$171,38,FALSE)*$F13)</f>
        <v>5.1870000000000003</v>
      </c>
      <c r="O46" s="248">
        <f>IF($C13=""," ",VLOOKUP($C13,Futtermittel!$A$8:$CG$171,39,FALSE)*$F13)</f>
        <v>0.45500000000000002</v>
      </c>
      <c r="P46" s="247">
        <f>IF($C13=""," ",VLOOKUP($C13,Futtermittel!$A$8:$CG$171,40,FALSE)*$F13)</f>
        <v>0</v>
      </c>
      <c r="Q46" s="247">
        <f>IF($C13=""," ",VLOOKUP($C13,Futtermittel!$A$8:$CG$171,41,FALSE)*$F13)</f>
        <v>0</v>
      </c>
      <c r="R46" s="247">
        <f>IF($C13=""," ",VLOOKUP($C13,Futtermittel!$A$8:$CG$171,42,FALSE)*$F13)</f>
        <v>0</v>
      </c>
      <c r="S46" s="247">
        <f>IF($C13=""," ",VLOOKUP($C13,Futtermittel!$A$8:$CG$171,43,FALSE)*$F13)</f>
        <v>-15.512977999999981</v>
      </c>
      <c r="T46" s="247">
        <f>IF($C13=""," ",VLOOKUP($C13,Futtermittel!$A$8:$CG$171,44,FALSE)*$F13)</f>
        <v>176.18016</v>
      </c>
      <c r="U46" s="247">
        <f>IF($C13=""," ",VLOOKUP($C13,Futtermittel!$A$8:$CG$171,45,FALSE)*$F13)</f>
        <v>20.436520000000002</v>
      </c>
      <c r="V46" s="247">
        <f>IF($C13=""," ",VLOOKUP($C13,Futtermittel!$A$8:$CG$171,54,FALSE)*$F13)</f>
        <v>88.828480000000013</v>
      </c>
      <c r="W46" s="247">
        <f>IF($C13=""," ",VLOOKUP($C13,Futtermittel!$A$8:$CG$171,53,FALSE)*$F13)</f>
        <v>19.073599999999999</v>
      </c>
      <c r="X46" s="247">
        <f>IF($C13=""," ",VLOOKUP($C13,Futtermittel!$A$8:$CG$171,46,FALSE)*$F13)</f>
        <v>369.46000000000004</v>
      </c>
      <c r="Y46" s="247"/>
      <c r="Z46" s="247"/>
      <c r="AA46" s="1301">
        <f>IF($C13=""," ",VLOOKUP($C13,Futtermittel!$A$8:$CG$171,28,FALSE)*$F13)</f>
        <v>1.976</v>
      </c>
    </row>
    <row r="47" spans="1:46" ht="19" customHeight="1">
      <c r="B47" s="794">
        <f t="shared" si="7"/>
        <v>11</v>
      </c>
      <c r="C47" s="1649" t="str">
        <f t="shared" si="8"/>
        <v>eigene Gerste 11% RP Ø 2016</v>
      </c>
      <c r="D47" s="1650"/>
      <c r="E47" s="798">
        <f t="shared" si="9"/>
        <v>11.22</v>
      </c>
      <c r="F47" s="1318">
        <f t="shared" si="9"/>
        <v>0.28000000000000003</v>
      </c>
      <c r="G47" s="250">
        <f>IF($C14=""," ",VLOOKUP(C14,Futtermittel!$A$8:$CG$171,29,FALSE)*$F14)</f>
        <v>0.49104719999999996</v>
      </c>
      <c r="H47" s="250">
        <f>IF($C14=""," ",VLOOKUP(C14,Futtermittel!$A$8:$CG$171,30,FALSE)*$F14)</f>
        <v>0.40265870399999992</v>
      </c>
      <c r="I47" s="249">
        <f>IF($C14=""," ",VLOOKUP(C14,Futtermittel!$A$8:$CG$171,31,FALSE)*$F14)</f>
        <v>6.6640000000000006</v>
      </c>
      <c r="J47" s="249">
        <f>IF($C14=""," ",VLOOKUP(C14,Futtermittel!$A$8:$CG$171,32,FALSE)*$F14)</f>
        <v>142.52000000000001</v>
      </c>
      <c r="K47" s="249">
        <f>IF($C14=""," ",VLOOKUP(C14,Futtermittel!$A$8:$CG$171,33,FALSE)*$F14)</f>
        <v>6.3840000000000012</v>
      </c>
      <c r="L47" s="249">
        <f>IF($C14=""," ",VLOOKUP(C14,Futtermittel!$A$8:$CG$171,34,FALSE)*$F14)</f>
        <v>6.6640000000000006</v>
      </c>
      <c r="M47" s="250">
        <f>IF($C14=""," ",VLOOKUP($C14,Futtermittel!$A$8:$CG$171,37,FALSE)*$F14)</f>
        <v>4.2142896551724141</v>
      </c>
      <c r="N47" s="250">
        <f>IF($C14=""," ",VLOOKUP($C14,Futtermittel!$A$8:$CG$171,38,FALSE)*$F14)</f>
        <v>3.8744275862068966</v>
      </c>
      <c r="O47" s="250">
        <f>IF($C14=""," ",VLOOKUP($C14,Futtermittel!$A$8:$CG$171,39,FALSE)*$F14)</f>
        <v>0.33986206896551729</v>
      </c>
      <c r="P47" s="249">
        <f>IF($C14=""," ",VLOOKUP($C14,Futtermittel!$A$8:$CG$171,40,FALSE)*$F14)</f>
        <v>0</v>
      </c>
      <c r="Q47" s="249">
        <f>IF($C14=""," ",VLOOKUP($C14,Futtermittel!$A$8:$CG$171,41,FALSE)*$F14)</f>
        <v>0</v>
      </c>
      <c r="R47" s="249">
        <f>IF($C14=""," ",VLOOKUP($C14,Futtermittel!$A$8:$CG$171,42,FALSE)*$F14)</f>
        <v>0</v>
      </c>
      <c r="S47" s="249">
        <f>IF($C14=""," ",VLOOKUP($C14,Futtermittel!$A$8:$CG$171,43,FALSE)*$F14)</f>
        <v>-12.564712533333322</v>
      </c>
      <c r="T47" s="249">
        <f>IF($C14=""," ",VLOOKUP($C14,Futtermittel!$A$8:$CG$171,44,FALSE)*$F14)</f>
        <v>93.032478212413807</v>
      </c>
      <c r="U47" s="249">
        <f>IF($C14=""," ",VLOOKUP($C14,Futtermittel!$A$8:$CG$171,45,FALSE)*$F14)</f>
        <v>22.423520000000039</v>
      </c>
      <c r="V47" s="249">
        <f>IF($C14=""," ",VLOOKUP($C14,Futtermittel!$A$8:$CG$171,54,FALSE)*$F14)</f>
        <v>101.1089655172414</v>
      </c>
      <c r="W47" s="249">
        <f>IF($C14=""," ",VLOOKUP($C14,Futtermittel!$A$8:$CG$171,53,FALSE)*$F14)</f>
        <v>13.160214559386974</v>
      </c>
      <c r="X47" s="249">
        <f>IF($C14=""," ",VLOOKUP($C14,Futtermittel!$A$8:$CG$171,46,FALSE)*$F14)</f>
        <v>187.65600000000006</v>
      </c>
      <c r="Y47" s="249"/>
      <c r="Z47" s="249"/>
      <c r="AA47" s="1302">
        <f>IF($C14=""," ",VLOOKUP($C14,Futtermittel!$A$8:$CG$171,28,FALSE)*$F14)</f>
        <v>1.2461609195402301</v>
      </c>
    </row>
    <row r="48" spans="1:46" ht="19" customHeight="1">
      <c r="B48" s="794">
        <f t="shared" si="7"/>
        <v>100</v>
      </c>
      <c r="C48" s="1649" t="str">
        <f t="shared" si="8"/>
        <v xml:space="preserve">Sojaschrot HP 47% RP </v>
      </c>
      <c r="D48" s="1650"/>
      <c r="E48" s="798">
        <f t="shared" si="9"/>
        <v>35.5</v>
      </c>
      <c r="F48" s="1318">
        <f t="shared" si="9"/>
        <v>0.155</v>
      </c>
      <c r="G48" s="250">
        <f>IF($C15=""," ",VLOOKUP(C15,Futtermittel!$A$8:$CG$171,29,FALSE)*$F15)</f>
        <v>0.97683465909090905</v>
      </c>
      <c r="H48" s="250">
        <f>IF($C15=""," ",VLOOKUP(C15,Futtermittel!$A$8:$CG$171,30,FALSE)*$F15)</f>
        <v>0.85961449999999995</v>
      </c>
      <c r="I48" s="249">
        <f>IF($C15=""," ",VLOOKUP(C15,Futtermittel!$A$8:$CG$171,31,FALSE)*$F15)</f>
        <v>2.9449999999999998</v>
      </c>
      <c r="J48" s="249">
        <f>IF($C15=""," ",VLOOKUP(C15,Futtermittel!$A$8:$CG$171,32,FALSE)*$F15)</f>
        <v>6.51</v>
      </c>
      <c r="K48" s="249">
        <f>IF($C15=""," ",VLOOKUP(C15,Futtermittel!$A$8:$CG$171,33,FALSE)*$F15)</f>
        <v>14.105</v>
      </c>
      <c r="L48" s="249">
        <f>IF($C15=""," ",VLOOKUP(C15,Futtermittel!$A$8:$CG$171,34,FALSE)*$F15)</f>
        <v>10.385</v>
      </c>
      <c r="M48" s="250">
        <f>IF($C15=""," ",VLOOKUP($C15,Futtermittel!$A$8:$CG$171,37,FALSE)*$F15)</f>
        <v>1.5903</v>
      </c>
      <c r="N48" s="250">
        <f>IF($C15=""," ",VLOOKUP($C15,Futtermittel!$A$8:$CG$171,38,FALSE)*$F15)</f>
        <v>1.4724999999999999</v>
      </c>
      <c r="O48" s="250">
        <f>IF($C15=""," ",VLOOKUP($C15,Futtermittel!$A$8:$CG$171,39,FALSE)*$F15)</f>
        <v>0.1178</v>
      </c>
      <c r="P48" s="249">
        <f>IF($C15=""," ",VLOOKUP($C15,Futtermittel!$A$8:$CG$171,40,FALSE)*$F15)</f>
        <v>0</v>
      </c>
      <c r="Q48" s="249">
        <f>IF($C15=""," ",VLOOKUP($C15,Futtermittel!$A$8:$CG$171,41,FALSE)*$F15)</f>
        <v>0</v>
      </c>
      <c r="R48" s="249">
        <f>IF($C15=""," ",VLOOKUP($C15,Futtermittel!$A$8:$CG$171,42,FALSE)*$F15)</f>
        <v>0</v>
      </c>
      <c r="S48" s="249">
        <f>IF($C15=""," ",VLOOKUP($C15,Futtermittel!$A$8:$CG$171,43,FALSE)*$F15)</f>
        <v>55.222096111531208</v>
      </c>
      <c r="T48" s="249">
        <f>IF($C15=""," ",VLOOKUP($C15,Futtermittel!$A$8:$CG$171,44,FALSE)*$F15)</f>
        <v>213.32133645635466</v>
      </c>
      <c r="U48" s="249">
        <f>IF($C15=""," ",VLOOKUP($C15,Futtermittel!$A$8:$CG$171,45,FALSE)*$F15)</f>
        <v>26.700299999999999</v>
      </c>
      <c r="V48" s="249">
        <f>IF($C15=""," ",VLOOKUP($C15,Futtermittel!$A$8:$CG$171,54,FALSE)*$F15)</f>
        <v>20.029623376623377</v>
      </c>
      <c r="W48" s="249">
        <f>IF($C15=""," ",VLOOKUP($C15,Futtermittel!$A$8:$CG$171,53,FALSE)*$F15)</f>
        <v>14.439961038961037</v>
      </c>
      <c r="X48" s="249">
        <f>IF($C15=""," ",VLOOKUP($C15,Futtermittel!$A$8:$CG$171,46,FALSE)*$F15)</f>
        <v>43.71</v>
      </c>
      <c r="Y48" s="249"/>
      <c r="Z48" s="249"/>
      <c r="AA48" s="1302">
        <f>IF($C15=""," ",VLOOKUP($C15,Futtermittel!$A$8:$CG$171,28,FALSE)*$F15)</f>
        <v>3.20044</v>
      </c>
    </row>
    <row r="49" spans="1:27" ht="19" customHeight="1">
      <c r="B49" s="794">
        <f t="shared" si="7"/>
        <v>140</v>
      </c>
      <c r="C49" s="1649" t="str">
        <f t="shared" si="8"/>
        <v>Rapsöl / Pflanzenöl DLG 2014</v>
      </c>
      <c r="D49" s="1650"/>
      <c r="E49" s="798">
        <f t="shared" si="9"/>
        <v>97</v>
      </c>
      <c r="F49" s="1318">
        <f t="shared" si="9"/>
        <v>0.01</v>
      </c>
      <c r="G49" s="250">
        <f>IF($C16=""," ",VLOOKUP(C16,Futtermittel!$A$8:$CG$171,29,FALSE)*$F16)</f>
        <v>0</v>
      </c>
      <c r="H49" s="250">
        <f>IF($C16=""," ",VLOOKUP(C16,Futtermittel!$A$8:$CG$171,30,FALSE)*$F16)</f>
        <v>0</v>
      </c>
      <c r="I49" s="249">
        <f>IF($C16=""," ",VLOOKUP(C16,Futtermittel!$A$8:$CG$171,31,FALSE)*$F16)</f>
        <v>9.98</v>
      </c>
      <c r="J49" s="249">
        <f>IF($C16=""," ",VLOOKUP(C16,Futtermittel!$A$8:$CG$171,32,FALSE)*$F16)</f>
        <v>0</v>
      </c>
      <c r="K49" s="249">
        <f>IF($C16=""," ",VLOOKUP(C16,Futtermittel!$A$8:$CG$171,33,FALSE)*$F16)</f>
        <v>0</v>
      </c>
      <c r="L49" s="249">
        <f>IF($C16=""," ",VLOOKUP(C16,Futtermittel!$A$8:$CG$171,34,FALSE)*$F16)</f>
        <v>0</v>
      </c>
      <c r="M49" s="250">
        <f>IF($C16=""," ",VLOOKUP($C16,Futtermittel!$A$8:$CG$171,37,FALSE)*$F16)</f>
        <v>2.89</v>
      </c>
      <c r="N49" s="250">
        <f>IF($C16=""," ",VLOOKUP($C16,Futtermittel!$A$8:$CG$171,38,FALSE)*$F16)</f>
        <v>1.996</v>
      </c>
      <c r="O49" s="250">
        <f>IF($C16=""," ",VLOOKUP($C16,Futtermittel!$A$8:$CG$171,39,FALSE)*$F16)</f>
        <v>0.8982</v>
      </c>
      <c r="P49" s="249">
        <f>IF($C16=""," ",VLOOKUP($C16,Futtermittel!$A$8:$CG$171,40,FALSE)*$F16)</f>
        <v>0</v>
      </c>
      <c r="Q49" s="249">
        <f>IF($C16=""," ",VLOOKUP($C16,Futtermittel!$A$8:$CG$171,41,FALSE)*$F16)</f>
        <v>0</v>
      </c>
      <c r="R49" s="249">
        <f>IF($C16=""," ",VLOOKUP($C16,Futtermittel!$A$8:$CG$171,42,FALSE)*$F16)</f>
        <v>0</v>
      </c>
      <c r="S49" s="249">
        <f>IF($C16=""," ",VLOOKUP($C16,Futtermittel!$A$8:$CG$171,43,FALSE)*$F16)</f>
        <v>0</v>
      </c>
      <c r="T49" s="249">
        <f>IF($C16=""," ",VLOOKUP($C16,Futtermittel!$A$8:$CG$171,44,FALSE)*$F16)</f>
        <v>0</v>
      </c>
      <c r="U49" s="249">
        <f>IF($C16=""," ",VLOOKUP($C16,Futtermittel!$A$8:$CG$171,45,FALSE)*$F16)</f>
        <v>0</v>
      </c>
      <c r="V49" s="249">
        <f>IF($C16=""," ",VLOOKUP($C16,Futtermittel!$A$8:$CG$171,54,FALSE)*$F16)</f>
        <v>0</v>
      </c>
      <c r="W49" s="249">
        <f>IF($C16=""," ",VLOOKUP($C16,Futtermittel!$A$8:$CG$171,53,FALSE)*$F16)</f>
        <v>0</v>
      </c>
      <c r="X49" s="249">
        <f>IF($C16=""," ",VLOOKUP($C16,Futtermittel!$A$8:$CG$171,46,FALSE)*$F16)</f>
        <v>0</v>
      </c>
      <c r="Y49" s="249"/>
      <c r="Z49" s="249"/>
      <c r="AA49" s="1302">
        <f>IF($C16=""," ",VLOOKUP($C16,Futtermittel!$A$8:$CG$171,28,FALSE)*$F16)</f>
        <v>0</v>
      </c>
    </row>
    <row r="50" spans="1:27" ht="19" customHeight="1">
      <c r="B50" s="794" t="str">
        <f t="shared" si="7"/>
        <v xml:space="preserve"> </v>
      </c>
      <c r="C50" s="1649" t="str">
        <f t="shared" si="8"/>
        <v xml:space="preserve"> </v>
      </c>
      <c r="D50" s="1650"/>
      <c r="E50" s="798" t="str">
        <f t="shared" si="9"/>
        <v xml:space="preserve"> </v>
      </c>
      <c r="F50" s="1318" t="str">
        <f t="shared" si="9"/>
        <v xml:space="preserve"> </v>
      </c>
      <c r="G50" s="250" t="str">
        <f>IF($C17=""," ",VLOOKUP(C17,Futtermittel!$A$8:$CG$171,29,FALSE)*$F17)</f>
        <v xml:space="preserve"> </v>
      </c>
      <c r="H50" s="250" t="str">
        <f>IF($C17=""," ",VLOOKUP(C17,Futtermittel!$A$8:$CG$171,30,FALSE)*$F17)</f>
        <v xml:space="preserve"> </v>
      </c>
      <c r="I50" s="249" t="str">
        <f>IF($C17=""," ",VLOOKUP(C17,Futtermittel!$A$8:$CG$171,31,FALSE)*$F17)</f>
        <v xml:space="preserve"> </v>
      </c>
      <c r="J50" s="249" t="str">
        <f>IF($C17=""," ",VLOOKUP(C17,Futtermittel!$A$8:$CG$171,32,FALSE)*$F17)</f>
        <v xml:space="preserve"> </v>
      </c>
      <c r="K50" s="249" t="str">
        <f>IF($C17=""," ",VLOOKUP(C17,Futtermittel!$A$8:$CG$171,33,FALSE)*$F17)</f>
        <v xml:space="preserve"> </v>
      </c>
      <c r="L50" s="249" t="str">
        <f>IF($C17=""," ",VLOOKUP(C17,Futtermittel!$A$8:$CG$171,34,FALSE)*$F17)</f>
        <v xml:space="preserve"> </v>
      </c>
      <c r="M50" s="250" t="str">
        <f>IF($C17=""," ",VLOOKUP($C17,Futtermittel!$A$8:$CG$171,37,FALSE)*$F17)</f>
        <v xml:space="preserve"> </v>
      </c>
      <c r="N50" s="250" t="str">
        <f>IF($C17=""," ",VLOOKUP($C17,Futtermittel!$A$8:$CG$171,38,FALSE)*$F17)</f>
        <v xml:space="preserve"> </v>
      </c>
      <c r="O50" s="250" t="str">
        <f>IF($C17=""," ",VLOOKUP($C17,Futtermittel!$A$8:$CG$171,39,FALSE)*$F17)</f>
        <v xml:space="preserve"> </v>
      </c>
      <c r="P50" s="249" t="str">
        <f>IF($C17=""," ",VLOOKUP($C17,Futtermittel!$A$8:$CG$171,40,FALSE)*$F17)</f>
        <v xml:space="preserve"> </v>
      </c>
      <c r="Q50" s="249" t="str">
        <f>IF($C17=""," ",VLOOKUP($C17,Futtermittel!$A$8:$CG$171,41,FALSE)*$F17)</f>
        <v xml:space="preserve"> </v>
      </c>
      <c r="R50" s="249" t="str">
        <f>IF($C17=""," ",VLOOKUP($C17,Futtermittel!$A$8:$CG$171,42,FALSE)*$F17)</f>
        <v xml:space="preserve"> </v>
      </c>
      <c r="S50" s="249" t="str">
        <f>IF($C17=""," ",VLOOKUP($C17,Futtermittel!$A$8:$CG$171,43,FALSE)*$F17)</f>
        <v xml:space="preserve"> </v>
      </c>
      <c r="T50" s="249" t="str">
        <f>IF($C17=""," ",VLOOKUP($C17,Futtermittel!$A$8:$CG$171,44,FALSE)*$F17)</f>
        <v xml:space="preserve"> </v>
      </c>
      <c r="U50" s="249" t="str">
        <f>IF($C17=""," ",VLOOKUP($C17,Futtermittel!$A$8:$CG$171,45,FALSE)*$F17)</f>
        <v xml:space="preserve"> </v>
      </c>
      <c r="V50" s="249" t="str">
        <f>IF($C17=""," ",VLOOKUP($C17,Futtermittel!$A$8:$CG$171,54,FALSE)*$F17)</f>
        <v xml:space="preserve"> </v>
      </c>
      <c r="W50" s="249" t="str">
        <f>IF($C17=""," ",VLOOKUP($C17,Futtermittel!$A$8:$CG$171,53,FALSE)*$F17)</f>
        <v xml:space="preserve"> </v>
      </c>
      <c r="X50" s="249" t="str">
        <f>IF($C17=""," ",VLOOKUP($C17,Futtermittel!$A$8:$CG$171,46,FALSE)*$F17)</f>
        <v xml:space="preserve"> </v>
      </c>
      <c r="Y50" s="249"/>
      <c r="Z50" s="249"/>
      <c r="AA50" s="1302" t="str">
        <f>IF($C17=""," ",VLOOKUP($C17,Futtermittel!$A$8:$CG$171,28,FALSE)*$F17)</f>
        <v xml:space="preserve"> </v>
      </c>
    </row>
    <row r="51" spans="1:27" ht="19" customHeight="1">
      <c r="B51" s="794" t="str">
        <f t="shared" si="7"/>
        <v xml:space="preserve"> </v>
      </c>
      <c r="C51" s="1649" t="str">
        <f t="shared" si="8"/>
        <v xml:space="preserve"> </v>
      </c>
      <c r="D51" s="1650"/>
      <c r="E51" s="798" t="str">
        <f t="shared" si="9"/>
        <v xml:space="preserve"> </v>
      </c>
      <c r="F51" s="1318" t="str">
        <f t="shared" si="9"/>
        <v xml:space="preserve"> </v>
      </c>
      <c r="G51" s="250" t="str">
        <f>IF($C18=""," ",VLOOKUP(C18,Futtermittel!$A$8:$CG$171,29,FALSE)*$F18)</f>
        <v xml:space="preserve"> </v>
      </c>
      <c r="H51" s="250" t="str">
        <f>IF($C18=""," ",VLOOKUP(C18,Futtermittel!$A$8:$CG$171,30,FALSE)*$F18)</f>
        <v xml:space="preserve"> </v>
      </c>
      <c r="I51" s="249" t="str">
        <f>IF($C18=""," ",VLOOKUP(C18,Futtermittel!$A$8:$CG$171,31,FALSE)*$F18)</f>
        <v xml:space="preserve"> </v>
      </c>
      <c r="J51" s="249" t="str">
        <f>IF($C18=""," ",VLOOKUP(C18,Futtermittel!$A$8:$CG$171,32,FALSE)*$F18)</f>
        <v xml:space="preserve"> </v>
      </c>
      <c r="K51" s="249" t="str">
        <f>IF($C18=""," ",VLOOKUP(C18,Futtermittel!$A$8:$CG$171,33,FALSE)*$F18)</f>
        <v xml:space="preserve"> </v>
      </c>
      <c r="L51" s="249" t="str">
        <f>IF($C18=""," ",VLOOKUP(C18,Futtermittel!$A$8:$CG$171,34,FALSE)*$F18)</f>
        <v xml:space="preserve"> </v>
      </c>
      <c r="M51" s="250" t="str">
        <f>IF($C18=""," ",VLOOKUP($C18,Futtermittel!$A$8:$CG$171,37,FALSE)*$F18)</f>
        <v xml:space="preserve"> </v>
      </c>
      <c r="N51" s="250" t="str">
        <f>IF($C18=""," ",VLOOKUP($C18,Futtermittel!$A$8:$CG$171,38,FALSE)*$F18)</f>
        <v xml:space="preserve"> </v>
      </c>
      <c r="O51" s="250" t="str">
        <f>IF($C18=""," ",VLOOKUP($C18,Futtermittel!$A$8:$CG$171,39,FALSE)*$F18)</f>
        <v xml:space="preserve"> </v>
      </c>
      <c r="P51" s="249" t="str">
        <f>IF($C18=""," ",VLOOKUP($C18,Futtermittel!$A$8:$CG$171,40,FALSE)*$F18)</f>
        <v xml:space="preserve"> </v>
      </c>
      <c r="Q51" s="249" t="str">
        <f>IF($C18=""," ",VLOOKUP($C18,Futtermittel!$A$8:$CG$171,41,FALSE)*$F18)</f>
        <v xml:space="preserve"> </v>
      </c>
      <c r="R51" s="249" t="str">
        <f>IF($C18=""," ",VLOOKUP($C18,Futtermittel!$A$8:$CG$171,42,FALSE)*$F18)</f>
        <v xml:space="preserve"> </v>
      </c>
      <c r="S51" s="249" t="str">
        <f>IF($C18=""," ",VLOOKUP($C18,Futtermittel!$A$8:$CG$171,43,FALSE)*$F18)</f>
        <v xml:space="preserve"> </v>
      </c>
      <c r="T51" s="249" t="str">
        <f>IF($C18=""," ",VLOOKUP($C18,Futtermittel!$A$8:$CG$171,44,FALSE)*$F18)</f>
        <v xml:space="preserve"> </v>
      </c>
      <c r="U51" s="249" t="str">
        <f>IF($C18=""," ",VLOOKUP($C18,Futtermittel!$A$8:$CG$171,45,FALSE)*$F18)</f>
        <v xml:space="preserve"> </v>
      </c>
      <c r="V51" s="249" t="str">
        <f>IF($C18=""," ",VLOOKUP($C18,Futtermittel!$A$8:$CG$171,54,FALSE)*$F18)</f>
        <v xml:space="preserve"> </v>
      </c>
      <c r="W51" s="249" t="str">
        <f>IF($C18=""," ",VLOOKUP($C18,Futtermittel!$A$8:$CG$171,53,FALSE)*$F18)</f>
        <v xml:space="preserve"> </v>
      </c>
      <c r="X51" s="249" t="str">
        <f>IF($C18=""," ",VLOOKUP($C18,Futtermittel!$A$8:$CG$171,46,FALSE)*$F18)</f>
        <v xml:space="preserve"> </v>
      </c>
      <c r="Y51" s="249"/>
      <c r="Z51" s="249"/>
      <c r="AA51" s="1302" t="str">
        <f>IF($C18=""," ",VLOOKUP($C18,Futtermittel!$A$8:$CG$171,28,FALSE)*$F18)</f>
        <v xml:space="preserve"> </v>
      </c>
    </row>
    <row r="52" spans="1:27" ht="19" customHeight="1">
      <c r="B52" s="794" t="str">
        <f t="shared" si="7"/>
        <v xml:space="preserve"> </v>
      </c>
      <c r="C52" s="1649" t="str">
        <f t="shared" si="8"/>
        <v xml:space="preserve"> </v>
      </c>
      <c r="D52" s="1650"/>
      <c r="E52" s="798" t="str">
        <f t="shared" si="9"/>
        <v xml:space="preserve"> </v>
      </c>
      <c r="F52" s="1318" t="str">
        <f t="shared" si="9"/>
        <v xml:space="preserve"> </v>
      </c>
      <c r="G52" s="250" t="str">
        <f>IF($C19=""," ",VLOOKUP(C19,Futtermittel!$A$8:$CG$171,29,FALSE)*$F19)</f>
        <v xml:space="preserve"> </v>
      </c>
      <c r="H52" s="250" t="str">
        <f>IF($C19=""," ",VLOOKUP(C19,Futtermittel!$A$8:$CG$171,30,FALSE)*$F19)</f>
        <v xml:space="preserve"> </v>
      </c>
      <c r="I52" s="249" t="str">
        <f>IF($C19=""," ",VLOOKUP(C19,Futtermittel!$A$8:$CG$171,31,FALSE)*$F19)</f>
        <v xml:space="preserve"> </v>
      </c>
      <c r="J52" s="249" t="str">
        <f>IF($C19=""," ",VLOOKUP(C19,Futtermittel!$A$8:$CG$171,32,FALSE)*$F19)</f>
        <v xml:space="preserve"> </v>
      </c>
      <c r="K52" s="249" t="str">
        <f>IF($C19=""," ",VLOOKUP(C19,Futtermittel!$A$8:$CG$171,33,FALSE)*$F19)</f>
        <v xml:space="preserve"> </v>
      </c>
      <c r="L52" s="249" t="str">
        <f>IF($C19=""," ",VLOOKUP(C19,Futtermittel!$A$8:$CG$171,34,FALSE)*$F19)</f>
        <v xml:space="preserve"> </v>
      </c>
      <c r="M52" s="250" t="str">
        <f>IF($C19=""," ",VLOOKUP($C19,Futtermittel!$A$8:$CG$171,37,FALSE)*$F19)</f>
        <v xml:space="preserve"> </v>
      </c>
      <c r="N52" s="250" t="str">
        <f>IF($C19=""," ",VLOOKUP($C19,Futtermittel!$A$8:$CG$171,38,FALSE)*$F19)</f>
        <v xml:space="preserve"> </v>
      </c>
      <c r="O52" s="250" t="str">
        <f>IF($C19=""," ",VLOOKUP($C19,Futtermittel!$A$8:$CG$171,39,FALSE)*$F19)</f>
        <v xml:space="preserve"> </v>
      </c>
      <c r="P52" s="249" t="str">
        <f>IF($C19=""," ",VLOOKUP($C19,Futtermittel!$A$8:$CG$171,40,FALSE)*$F19)</f>
        <v xml:space="preserve"> </v>
      </c>
      <c r="Q52" s="249" t="str">
        <f>IF($C19=""," ",VLOOKUP($C19,Futtermittel!$A$8:$CG$171,41,FALSE)*$F19)</f>
        <v xml:space="preserve"> </v>
      </c>
      <c r="R52" s="249" t="str">
        <f>IF($C19=""," ",VLOOKUP($C19,Futtermittel!$A$8:$CG$171,42,FALSE)*$F19)</f>
        <v xml:space="preserve"> </v>
      </c>
      <c r="S52" s="249" t="str">
        <f>IF($C19=""," ",VLOOKUP($C19,Futtermittel!$A$8:$CG$171,43,FALSE)*$F19)</f>
        <v xml:space="preserve"> </v>
      </c>
      <c r="T52" s="249" t="str">
        <f>IF($C19=""," ",VLOOKUP($C19,Futtermittel!$A$8:$CG$171,44,FALSE)*$F19)</f>
        <v xml:space="preserve"> </v>
      </c>
      <c r="U52" s="249" t="str">
        <f>IF($C19=""," ",VLOOKUP($C19,Futtermittel!$A$8:$CG$171,45,FALSE)*$F19)</f>
        <v xml:space="preserve"> </v>
      </c>
      <c r="V52" s="249" t="str">
        <f>IF($C19=""," ",VLOOKUP($C19,Futtermittel!$A$8:$CG$171,54,FALSE)*$F19)</f>
        <v xml:space="preserve"> </v>
      </c>
      <c r="W52" s="249" t="str">
        <f>IF($C19=""," ",VLOOKUP($C19,Futtermittel!$A$8:$CG$171,53,FALSE)*$F19)</f>
        <v xml:space="preserve"> </v>
      </c>
      <c r="X52" s="249" t="str">
        <f>IF($C19=""," ",VLOOKUP($C19,Futtermittel!$A$8:$CG$171,46,FALSE)*$F19)</f>
        <v xml:space="preserve"> </v>
      </c>
      <c r="Y52" s="249"/>
      <c r="Z52" s="249"/>
      <c r="AA52" s="1302" t="str">
        <f>IF($C19=""," ",VLOOKUP($C19,Futtermittel!$A$8:$CG$171,28,FALSE)*$F19)</f>
        <v xml:space="preserve"> </v>
      </c>
    </row>
    <row r="53" spans="1:27" ht="19" customHeight="1">
      <c r="B53" s="794" t="str">
        <f t="shared" si="7"/>
        <v xml:space="preserve"> </v>
      </c>
      <c r="C53" s="1649" t="str">
        <f t="shared" si="8"/>
        <v xml:space="preserve"> </v>
      </c>
      <c r="D53" s="1650"/>
      <c r="E53" s="798" t="str">
        <f t="shared" si="9"/>
        <v xml:space="preserve"> </v>
      </c>
      <c r="F53" s="1318" t="str">
        <f t="shared" si="9"/>
        <v xml:space="preserve"> </v>
      </c>
      <c r="G53" s="250" t="str">
        <f>IF($C20=""," ",VLOOKUP(C20,Futtermittel!$A$8:$CG$171,29,FALSE)*$F20)</f>
        <v xml:space="preserve"> </v>
      </c>
      <c r="H53" s="250" t="str">
        <f>IF($C20=""," ",VLOOKUP(C20,Futtermittel!$A$8:$CG$171,30,FALSE)*$F20)</f>
        <v xml:space="preserve"> </v>
      </c>
      <c r="I53" s="249" t="str">
        <f>IF($C20=""," ",VLOOKUP(C20,Futtermittel!$A$8:$CG$171,31,FALSE)*$F20)</f>
        <v xml:space="preserve"> </v>
      </c>
      <c r="J53" s="249" t="str">
        <f>IF($C20=""," ",VLOOKUP(C20,Futtermittel!$A$8:$CG$171,32,FALSE)*$F20)</f>
        <v xml:space="preserve"> </v>
      </c>
      <c r="K53" s="249" t="str">
        <f>IF($C20=""," ",VLOOKUP(C20,Futtermittel!$A$8:$CG$171,33,FALSE)*$F20)</f>
        <v xml:space="preserve"> </v>
      </c>
      <c r="L53" s="249" t="str">
        <f>IF($C20=""," ",VLOOKUP(C20,Futtermittel!$A$8:$CG$171,34,FALSE)*$F20)</f>
        <v xml:space="preserve"> </v>
      </c>
      <c r="M53" s="250" t="str">
        <f>IF($C20=""," ",VLOOKUP($C20,Futtermittel!$A$8:$CG$171,37,FALSE)*$F20)</f>
        <v xml:space="preserve"> </v>
      </c>
      <c r="N53" s="250" t="str">
        <f>IF($C20=""," ",VLOOKUP($C20,Futtermittel!$A$8:$CG$171,38,FALSE)*$F20)</f>
        <v xml:space="preserve"> </v>
      </c>
      <c r="O53" s="250" t="str">
        <f>IF($C20=""," ",VLOOKUP($C20,Futtermittel!$A$8:$CG$171,39,FALSE)*$F20)</f>
        <v xml:space="preserve"> </v>
      </c>
      <c r="P53" s="249" t="str">
        <f>IF($C20=""," ",VLOOKUP($C20,Futtermittel!$A$8:$CG$171,40,FALSE)*$F20)</f>
        <v xml:space="preserve"> </v>
      </c>
      <c r="Q53" s="249" t="str">
        <f>IF($C20=""," ",VLOOKUP($C20,Futtermittel!$A$8:$CG$171,41,FALSE)*$F20)</f>
        <v xml:space="preserve"> </v>
      </c>
      <c r="R53" s="249" t="str">
        <f>IF($C20=""," ",VLOOKUP($C20,Futtermittel!$A$8:$CG$171,42,FALSE)*$F20)</f>
        <v xml:space="preserve"> </v>
      </c>
      <c r="S53" s="249" t="str">
        <f>IF($C20=""," ",VLOOKUP($C20,Futtermittel!$A$8:$CG$171,43,FALSE)*$F20)</f>
        <v xml:space="preserve"> </v>
      </c>
      <c r="T53" s="249" t="str">
        <f>IF($C20=""," ",VLOOKUP($C20,Futtermittel!$A$8:$CG$171,44,FALSE)*$F20)</f>
        <v xml:space="preserve"> </v>
      </c>
      <c r="U53" s="249" t="str">
        <f>IF($C20=""," ",VLOOKUP($C20,Futtermittel!$A$8:$CG$171,45,FALSE)*$F20)</f>
        <v xml:space="preserve"> </v>
      </c>
      <c r="V53" s="249" t="str">
        <f>IF($C20=""," ",VLOOKUP($C20,Futtermittel!$A$8:$CG$171,54,FALSE)*$F20)</f>
        <v xml:space="preserve"> </v>
      </c>
      <c r="W53" s="249" t="str">
        <f>IF($C20=""," ",VLOOKUP($C20,Futtermittel!$A$8:$CG$171,53,FALSE)*$F20)</f>
        <v xml:space="preserve"> </v>
      </c>
      <c r="X53" s="249" t="str">
        <f>IF($C20=""," ",VLOOKUP($C20,Futtermittel!$A$8:$CG$171,46,FALSE)*$F20)</f>
        <v xml:space="preserve"> </v>
      </c>
      <c r="Y53" s="249"/>
      <c r="Z53" s="249"/>
      <c r="AA53" s="1302" t="str">
        <f>IF($C20=""," ",VLOOKUP($C20,Futtermittel!$A$8:$CG$171,28,FALSE)*$F20)</f>
        <v xml:space="preserve"> </v>
      </c>
    </row>
    <row r="54" spans="1:27" ht="19" customHeight="1">
      <c r="B54" s="794" t="str">
        <f t="shared" ref="B54:B59" si="10">B21</f>
        <v xml:space="preserve"> </v>
      </c>
      <c r="C54" s="1649" t="str">
        <f t="shared" si="8"/>
        <v xml:space="preserve"> </v>
      </c>
      <c r="D54" s="1650"/>
      <c r="E54" s="798" t="str">
        <f t="shared" ref="D54:F59" si="11">IF(E21=""," ",E21)</f>
        <v xml:space="preserve"> </v>
      </c>
      <c r="F54" s="1318" t="str">
        <f>IF(F21=""," ",F21)</f>
        <v xml:space="preserve"> </v>
      </c>
      <c r="G54" s="250" t="str">
        <f>IF($C21=""," ",VLOOKUP(C21,Futtermittel!$A$8:$CG$171,29,FALSE)*$F21)</f>
        <v xml:space="preserve"> </v>
      </c>
      <c r="H54" s="250" t="str">
        <f>IF($C21=""," ",VLOOKUP(C21,Futtermittel!$A$8:$CG$171,30,FALSE)*$F21)</f>
        <v xml:space="preserve"> </v>
      </c>
      <c r="I54" s="249" t="str">
        <f>IF($C21=""," ",VLOOKUP(C21,Futtermittel!$A$8:$CG$171,31,FALSE)*$F21)</f>
        <v xml:space="preserve"> </v>
      </c>
      <c r="J54" s="249" t="str">
        <f>IF($C21=""," ",VLOOKUP(C21,Futtermittel!$A$8:$CG$171,32,FALSE)*$F21)</f>
        <v xml:space="preserve"> </v>
      </c>
      <c r="K54" s="249" t="str">
        <f>IF($C21=""," ",VLOOKUP(C21,Futtermittel!$A$8:$CG$171,33,FALSE)*$F21)</f>
        <v xml:space="preserve"> </v>
      </c>
      <c r="L54" s="249" t="str">
        <f>IF($C21=""," ",VLOOKUP(C21,Futtermittel!$A$8:$CG$171,34,FALSE)*$F21)</f>
        <v xml:space="preserve"> </v>
      </c>
      <c r="M54" s="250" t="str">
        <f>IF($C21=""," ",VLOOKUP($C21,Futtermittel!$A$8:$CG$171,37,FALSE)*$F21)</f>
        <v xml:space="preserve"> </v>
      </c>
      <c r="N54" s="250" t="str">
        <f>IF($C21=""," ",VLOOKUP($C21,Futtermittel!$A$8:$CG$171,38,FALSE)*$F21)</f>
        <v xml:space="preserve"> </v>
      </c>
      <c r="O54" s="250" t="str">
        <f>IF($C21=""," ",VLOOKUP($C21,Futtermittel!$A$8:$CG$171,39,FALSE)*$F21)</f>
        <v xml:space="preserve"> </v>
      </c>
      <c r="P54" s="249" t="str">
        <f>IF($C21=""," ",VLOOKUP($C21,Futtermittel!$A$8:$CG$171,40,FALSE)*$F21)</f>
        <v xml:space="preserve"> </v>
      </c>
      <c r="Q54" s="249" t="str">
        <f>IF($C21=""," ",VLOOKUP($C21,Futtermittel!$A$8:$CG$171,41,FALSE)*$F21)</f>
        <v xml:space="preserve"> </v>
      </c>
      <c r="R54" s="249" t="str">
        <f>IF($C21=""," ",VLOOKUP($C21,Futtermittel!$A$8:$CG$171,42,FALSE)*$F21)</f>
        <v xml:space="preserve"> </v>
      </c>
      <c r="S54" s="249" t="str">
        <f>IF($C21=""," ",VLOOKUP($C21,Futtermittel!$A$8:$CG$171,43,FALSE)*$F21)</f>
        <v xml:space="preserve"> </v>
      </c>
      <c r="T54" s="249" t="str">
        <f>IF($C21=""," ",VLOOKUP($C21,Futtermittel!$A$8:$CG$171,44,FALSE)*$F21)</f>
        <v xml:space="preserve"> </v>
      </c>
      <c r="U54" s="249" t="str">
        <f>IF($C21=""," ",VLOOKUP($C21,Futtermittel!$A$8:$CG$171,45,FALSE)*$F21)</f>
        <v xml:space="preserve"> </v>
      </c>
      <c r="V54" s="249" t="str">
        <f>IF($C21=""," ",VLOOKUP($C21,Futtermittel!$A$8:$CG$171,54,FALSE)*$F21)</f>
        <v xml:space="preserve"> </v>
      </c>
      <c r="W54" s="249" t="str">
        <f>IF($C21=""," ",VLOOKUP($C21,Futtermittel!$A$8:$CG$171,53,FALSE)*$F21)</f>
        <v xml:space="preserve"> </v>
      </c>
      <c r="X54" s="249" t="str">
        <f>IF($C21=""," ",VLOOKUP($C21,Futtermittel!$A$8:$CG$171,46,FALSE)*$F21)</f>
        <v xml:space="preserve"> </v>
      </c>
      <c r="Y54" s="249"/>
      <c r="Z54" s="249"/>
      <c r="AA54" s="1302" t="str">
        <f>IF($C21=""," ",VLOOKUP($C21,Futtermittel!$A$8:$CG$171,28,FALSE)*$F21)</f>
        <v xml:space="preserve"> </v>
      </c>
    </row>
    <row r="55" spans="1:27" ht="19" customHeight="1">
      <c r="B55" s="794" t="str">
        <f t="shared" si="10"/>
        <v xml:space="preserve"> </v>
      </c>
      <c r="C55" s="1649" t="str">
        <f t="shared" si="8"/>
        <v xml:space="preserve"> </v>
      </c>
      <c r="D55" s="1650"/>
      <c r="E55" s="798" t="str">
        <f t="shared" si="11"/>
        <v xml:space="preserve"> </v>
      </c>
      <c r="F55" s="1318" t="str">
        <f>IF(F22=""," ",F22)</f>
        <v xml:space="preserve"> </v>
      </c>
      <c r="G55" s="250" t="str">
        <f>IF($C22=""," ",VLOOKUP(C22,Futtermittel!$A$8:$CG$171,29,FALSE)*$F22)</f>
        <v xml:space="preserve"> </v>
      </c>
      <c r="H55" s="250" t="str">
        <f>IF($C22=""," ",VLOOKUP(C22,Futtermittel!$A$8:$CG$171,30,FALSE)*$F22)</f>
        <v xml:space="preserve"> </v>
      </c>
      <c r="I55" s="249" t="str">
        <f>IF($C22=""," ",VLOOKUP(C22,Futtermittel!$A$8:$CG$171,31,FALSE)*$F22)</f>
        <v xml:space="preserve"> </v>
      </c>
      <c r="J55" s="249" t="str">
        <f>IF($C22=""," ",VLOOKUP(C22,Futtermittel!$A$8:$CG$171,32,FALSE)*$F22)</f>
        <v xml:space="preserve"> </v>
      </c>
      <c r="K55" s="249" t="str">
        <f>IF($C22=""," ",VLOOKUP(C22,Futtermittel!$A$8:$CG$171,33,FALSE)*$F22)</f>
        <v xml:space="preserve"> </v>
      </c>
      <c r="L55" s="249" t="str">
        <f>IF($C22=""," ",VLOOKUP(C22,Futtermittel!$A$8:$CG$171,34,FALSE)*$F22)</f>
        <v xml:space="preserve"> </v>
      </c>
      <c r="M55" s="250" t="str">
        <f>IF($C22=""," ",VLOOKUP($C22,Futtermittel!$A$8:$CG$171,37,FALSE)*$F22)</f>
        <v xml:space="preserve"> </v>
      </c>
      <c r="N55" s="250" t="str">
        <f>IF($C22=""," ",VLOOKUP($C22,Futtermittel!$A$8:$CG$171,38,FALSE)*$F22)</f>
        <v xml:space="preserve"> </v>
      </c>
      <c r="O55" s="250" t="str">
        <f>IF($C22=""," ",VLOOKUP($C22,Futtermittel!$A$8:$CG$171,39,FALSE)*$F22)</f>
        <v xml:space="preserve"> </v>
      </c>
      <c r="P55" s="249" t="str">
        <f>IF($C22=""," ",VLOOKUP($C22,Futtermittel!$A$8:$CG$171,40,FALSE)*$F22)</f>
        <v xml:space="preserve"> </v>
      </c>
      <c r="Q55" s="249" t="str">
        <f>IF($C22=""," ",VLOOKUP($C22,Futtermittel!$A$8:$CG$171,41,FALSE)*$F22)</f>
        <v xml:space="preserve"> </v>
      </c>
      <c r="R55" s="249" t="str">
        <f>IF($C22=""," ",VLOOKUP($C22,Futtermittel!$A$8:$CG$171,42,FALSE)*$F22)</f>
        <v xml:space="preserve"> </v>
      </c>
      <c r="S55" s="249" t="str">
        <f>IF($C22=""," ",VLOOKUP($C22,Futtermittel!$A$8:$CG$171,43,FALSE)*$F22)</f>
        <v xml:space="preserve"> </v>
      </c>
      <c r="T55" s="249" t="str">
        <f>IF($C22=""," ",VLOOKUP($C22,Futtermittel!$A$8:$CG$171,44,FALSE)*$F22)</f>
        <v xml:space="preserve"> </v>
      </c>
      <c r="U55" s="249" t="str">
        <f>IF($C22=""," ",VLOOKUP($C22,Futtermittel!$A$8:$CG$171,45,FALSE)*$F22)</f>
        <v xml:space="preserve"> </v>
      </c>
      <c r="V55" s="249" t="str">
        <f>IF($C22=""," ",VLOOKUP($C22,Futtermittel!$A$8:$CG$171,54,FALSE)*$F22)</f>
        <v xml:space="preserve"> </v>
      </c>
      <c r="W55" s="249" t="str">
        <f>IF($C22=""," ",VLOOKUP($C22,Futtermittel!$A$8:$CG$171,53,FALSE)*$F22)</f>
        <v xml:space="preserve"> </v>
      </c>
      <c r="X55" s="249" t="str">
        <f>IF($C22=""," ",VLOOKUP($C22,Futtermittel!$A$8:$CG$171,46,FALSE)*$F22)</f>
        <v xml:space="preserve"> </v>
      </c>
      <c r="Y55" s="249"/>
      <c r="Z55" s="249"/>
      <c r="AA55" s="1302" t="str">
        <f>IF($C22=""," ",VLOOKUP($C22,Futtermittel!$A$8:$CG$171,28,FALSE)*$F22)</f>
        <v xml:space="preserve"> </v>
      </c>
    </row>
    <row r="56" spans="1:27" ht="19" customHeight="1" thickBot="1">
      <c r="B56" s="795" t="str">
        <f t="shared" si="10"/>
        <v xml:space="preserve"> </v>
      </c>
      <c r="C56" s="1666" t="str">
        <f t="shared" si="8"/>
        <v xml:space="preserve"> </v>
      </c>
      <c r="D56" s="1667"/>
      <c r="E56" s="799" t="str">
        <f t="shared" si="11"/>
        <v xml:space="preserve"> </v>
      </c>
      <c r="F56" s="1319" t="str">
        <f>IF(F23=""," ",F23)</f>
        <v xml:space="preserve"> </v>
      </c>
      <c r="G56" s="250" t="str">
        <f>IF($C23=""," ",VLOOKUP(C23,Futtermittel!$A$8:$CG$171,29,FALSE)*$F23)</f>
        <v xml:space="preserve"> </v>
      </c>
      <c r="H56" s="250" t="str">
        <f>IF($C23=""," ",VLOOKUP(C23,Futtermittel!$A$8:$CG$171,30,FALSE)*$F23)</f>
        <v xml:space="preserve"> </v>
      </c>
      <c r="I56" s="249" t="str">
        <f>IF($C23=""," ",VLOOKUP(C23,Futtermittel!$A$8:$CG$171,31,FALSE)*$F23)</f>
        <v xml:space="preserve"> </v>
      </c>
      <c r="J56" s="249" t="str">
        <f>IF($C23=""," ",VLOOKUP(C23,Futtermittel!$A$8:$CG$171,32,FALSE)*$F23)</f>
        <v xml:space="preserve"> </v>
      </c>
      <c r="K56" s="249" t="str">
        <f>IF($C23=""," ",VLOOKUP(C23,Futtermittel!$A$8:$CG$171,33,FALSE)*$F23)</f>
        <v xml:space="preserve"> </v>
      </c>
      <c r="L56" s="249" t="str">
        <f>IF($C23=""," ",VLOOKUP(C23,Futtermittel!$A$8:$CG$171,34,FALSE)*$F23)</f>
        <v xml:space="preserve"> </v>
      </c>
      <c r="M56" s="250" t="str">
        <f>IF($C23=""," ",VLOOKUP($C23,Futtermittel!$A$8:$CG$171,37,FALSE)*$F23)</f>
        <v xml:space="preserve"> </v>
      </c>
      <c r="N56" s="250" t="str">
        <f>IF($C23=""," ",VLOOKUP($C23,Futtermittel!$A$8:$CG$171,38,FALSE)*$F23)</f>
        <v xml:space="preserve"> </v>
      </c>
      <c r="O56" s="250" t="str">
        <f>IF($C23=""," ",VLOOKUP($C23,Futtermittel!$A$8:$CG$171,39,FALSE)*$F23)</f>
        <v xml:space="preserve"> </v>
      </c>
      <c r="P56" s="249" t="str">
        <f>IF($C23=""," ",VLOOKUP($C23,Futtermittel!$A$8:$CG$171,40,FALSE)*$F23)</f>
        <v xml:space="preserve"> </v>
      </c>
      <c r="Q56" s="249" t="str">
        <f>IF($C23=""," ",VLOOKUP($C23,Futtermittel!$A$8:$CG$171,41,FALSE)*$F23)</f>
        <v xml:space="preserve"> </v>
      </c>
      <c r="R56" s="249" t="str">
        <f>IF($C23=""," ",VLOOKUP($C23,Futtermittel!$A$8:$CG$171,42,FALSE)*$F23)</f>
        <v xml:space="preserve"> </v>
      </c>
      <c r="S56" s="249" t="str">
        <f>IF($C23=""," ",VLOOKUP($C23,Futtermittel!$A$8:$CG$171,43,FALSE)*$F23)</f>
        <v xml:space="preserve"> </v>
      </c>
      <c r="T56" s="249" t="str">
        <f>IF($C23=""," ",VLOOKUP($C23,Futtermittel!$A$8:$CG$171,44,FALSE)*$F23)</f>
        <v xml:space="preserve"> </v>
      </c>
      <c r="U56" s="249" t="str">
        <f>IF($C23=""," ",VLOOKUP($C23,Futtermittel!$A$8:$CG$171,45,FALSE)*$F23)</f>
        <v xml:space="preserve"> </v>
      </c>
      <c r="V56" s="249" t="str">
        <f>IF($C23=""," ",VLOOKUP($C23,Futtermittel!$A$8:$CG$171,54,FALSE)*$F23)</f>
        <v xml:space="preserve"> </v>
      </c>
      <c r="W56" s="249" t="str">
        <f>IF($C23=""," ",VLOOKUP($C23,Futtermittel!$A$8:$CG$171,53,FALSE)*$F23)</f>
        <v xml:space="preserve"> </v>
      </c>
      <c r="X56" s="249" t="str">
        <f>IF($C23=""," ",VLOOKUP($C23,Futtermittel!$A$8:$CG$171,46,FALSE)*$F23)</f>
        <v xml:space="preserve"> </v>
      </c>
      <c r="Y56" s="249"/>
      <c r="Z56" s="249"/>
      <c r="AA56" s="1302" t="str">
        <f>IF($C23=""," ",VLOOKUP($C23,Futtermittel!$A$8:$CG$171,28,FALSE)*$F23)</f>
        <v xml:space="preserve"> </v>
      </c>
    </row>
    <row r="57" spans="1:27" ht="19" customHeight="1" thickBot="1">
      <c r="A57" s="234"/>
      <c r="B57" s="496" t="s">
        <v>210</v>
      </c>
      <c r="C57" s="796" t="s">
        <v>209</v>
      </c>
      <c r="D57" s="792" t="s">
        <v>360</v>
      </c>
      <c r="E57" s="505"/>
      <c r="F57" s="1322"/>
      <c r="G57" s="483"/>
      <c r="H57" s="483"/>
      <c r="I57" s="1296"/>
      <c r="J57" s="861"/>
      <c r="K57" s="861"/>
      <c r="L57" s="861"/>
      <c r="M57" s="483"/>
      <c r="N57" s="483"/>
      <c r="O57" s="483"/>
      <c r="P57" s="861"/>
      <c r="Q57" s="861"/>
      <c r="R57" s="861"/>
      <c r="S57" s="861"/>
      <c r="T57" s="861"/>
      <c r="U57" s="861"/>
      <c r="V57" s="249"/>
      <c r="W57" s="249"/>
      <c r="X57" s="249"/>
      <c r="Y57" s="249"/>
      <c r="Z57" s="249"/>
      <c r="AA57" s="1302"/>
    </row>
    <row r="58" spans="1:27" ht="19" customHeight="1">
      <c r="A58" s="234"/>
      <c r="B58" s="793" t="str">
        <f t="shared" si="10"/>
        <v xml:space="preserve"> </v>
      </c>
      <c r="C58" s="800" t="str">
        <f>IF(C25=""," ",C25)</f>
        <v xml:space="preserve"> </v>
      </c>
      <c r="D58" s="801">
        <f t="shared" si="11"/>
        <v>0.85</v>
      </c>
      <c r="E58" s="797" t="str">
        <f t="shared" si="11"/>
        <v xml:space="preserve"> </v>
      </c>
      <c r="F58" s="1320" t="str">
        <f t="shared" si="11"/>
        <v xml:space="preserve"> </v>
      </c>
      <c r="G58" s="250" t="str">
        <f>IF($C25=""," ",VLOOKUP($C25,Ergänzungsfutter!$A$11:$BE$26,20,FALSE)*$F25)</f>
        <v xml:space="preserve"> </v>
      </c>
      <c r="H58" s="250" t="str">
        <f>IF($C25=""," ",VLOOKUP($C25,Ergänzungsfutter!$A$11:$BE$26,20,FALSE)*$F25*D25)</f>
        <v xml:space="preserve"> </v>
      </c>
      <c r="I58" s="249" t="str">
        <f>IF($C25=""," ",VLOOKUP($C25,Ergänzungsfutter!$A$11:$BE$26,21,FALSE)*$F25)</f>
        <v xml:space="preserve"> </v>
      </c>
      <c r="J58" s="249" t="str">
        <f>IF($C25=""," ",VLOOKUP($C25,Ergänzungsfutter!$A$11:$BE$26,22,FALSE)*$F25)</f>
        <v xml:space="preserve"> </v>
      </c>
      <c r="K58" s="249" t="str">
        <f>IF($C25=""," ",VLOOKUP($C25,Ergänzungsfutter!$A$11:$BE$26,23,FALSE)*$F25)</f>
        <v xml:space="preserve"> </v>
      </c>
      <c r="L58" s="249" t="str">
        <f>IF($C25=""," ",VLOOKUP($C25,Ergänzungsfutter!$A$11:$BE$26,24,FALSE)*$F25)</f>
        <v xml:space="preserve"> </v>
      </c>
      <c r="M58" s="250" t="str">
        <f>IF($C25=""," ",VLOOKUP($C25,Ergänzungsfutter!$A$11:$BE$26,27,FALSE)*$F25)</f>
        <v xml:space="preserve"> </v>
      </c>
      <c r="N58" s="250" t="str">
        <f>IF($C25=""," ",VLOOKUP($C25,Ergänzungsfutter!$A$11:$BE$26,28,FALSE)*$F25)</f>
        <v xml:space="preserve"> </v>
      </c>
      <c r="O58" s="250" t="str">
        <f>IF($C25=""," ",VLOOKUP($C25,Ergänzungsfutter!$A$11:$BE$26,29,FALSE)*$F25)</f>
        <v xml:space="preserve"> </v>
      </c>
      <c r="P58" s="249" t="str">
        <f>IF($C25=""," ",VLOOKUP($C25,Ergänzungsfutter!$A$11:$BE$26,30,FALSE)*$F25)</f>
        <v xml:space="preserve"> </v>
      </c>
      <c r="Q58" s="249" t="str">
        <f>IF($C25=""," ",VLOOKUP($C25,Ergänzungsfutter!$A$11:$BE$26,31,FALSE)*$F25)</f>
        <v xml:space="preserve"> </v>
      </c>
      <c r="R58" s="249" t="str">
        <f>IF($C25=""," ",VLOOKUP($C25,Ergänzungsfutter!$A$11:$BE$26,32,FALSE)*$F25)</f>
        <v xml:space="preserve"> </v>
      </c>
      <c r="S58" s="249" t="str">
        <f>IF($C25=""," ",VLOOKUP($C25,Ergänzungsfutter!$A$11:$BE$26,33,FALSE)*$F25)</f>
        <v xml:space="preserve"> </v>
      </c>
      <c r="T58" s="249" t="str">
        <f>IF($C25=""," ",VLOOKUP($C25,Ergänzungsfutter!$A$11:$BE$26,34,FALSE)*$F25)</f>
        <v xml:space="preserve"> </v>
      </c>
      <c r="U58" s="249" t="str">
        <f>IF($C25=""," ",VLOOKUP($C25,Ergänzungsfutter!$A$11:$BE$26,35,FALSE)*$F25)</f>
        <v xml:space="preserve"> </v>
      </c>
      <c r="V58" s="249" t="str">
        <f>IF($C25=""," ",VLOOKUP($C25,Ergänzungsfutter!$A$11:$BE$26,36,FALSE)*$F25)</f>
        <v xml:space="preserve"> </v>
      </c>
      <c r="W58" s="249" t="str">
        <f>IF($C25=""," ",VLOOKUP($C25,Ergänzungsfutter!$A$11:$BE$26,35,FALSE)*$F25)</f>
        <v xml:space="preserve"> </v>
      </c>
      <c r="X58" s="249" t="str">
        <f>IF($C25=""," ",VLOOKUP($C25,Ergänzungsfutter!$A$11:$BE$26,37,FALSE)*$F25)</f>
        <v xml:space="preserve"> </v>
      </c>
      <c r="Y58" s="249"/>
      <c r="Z58" s="249"/>
      <c r="AA58" s="1302" t="str">
        <f>IF($C25=""," ",VLOOKUP($C25,Ergänzungsfutter!$A$11:$BE$26,37,FALSE)*$F25)</f>
        <v xml:space="preserve"> </v>
      </c>
    </row>
    <row r="59" spans="1:27" ht="19" customHeight="1" thickBot="1">
      <c r="B59" s="795" t="str">
        <f t="shared" si="10"/>
        <v xml:space="preserve"> </v>
      </c>
      <c r="C59" s="802" t="str">
        <f>IF(C26=""," ",C26)</f>
        <v xml:space="preserve"> </v>
      </c>
      <c r="D59" s="801" t="str">
        <f t="shared" si="11"/>
        <v xml:space="preserve"> </v>
      </c>
      <c r="E59" s="799" t="str">
        <f t="shared" si="11"/>
        <v xml:space="preserve"> </v>
      </c>
      <c r="F59" s="1321" t="str">
        <f t="shared" si="11"/>
        <v xml:space="preserve"> </v>
      </c>
      <c r="G59" s="250" t="str">
        <f>IF($C26=""," ",VLOOKUP($C26,Ergänzungsfutter!$A$11:$BE$26,20,FALSE)*$F26)</f>
        <v xml:space="preserve"> </v>
      </c>
      <c r="H59" s="250" t="str">
        <f>IF($C26=""," ",VLOOKUP($C26,Ergänzungsfutter!$A$11:$BE$26,20,FALSE)*$F26*D26)</f>
        <v xml:space="preserve"> </v>
      </c>
      <c r="I59" s="249" t="str">
        <f>IF($C26=""," ",VLOOKUP($C26,Ergänzungsfutter!$A$11:$BE$26,21,FALSE)*$F26)</f>
        <v xml:space="preserve"> </v>
      </c>
      <c r="J59" s="249" t="str">
        <f>IF($C26=""," ",VLOOKUP($C26,Ergänzungsfutter!$A$11:$BE$26,22,FALSE)*$F26)</f>
        <v xml:space="preserve"> </v>
      </c>
      <c r="K59" s="249" t="str">
        <f>IF($C26=""," ",VLOOKUP($C26,Ergänzungsfutter!$A$11:$BE$26,23,FALSE)*$F26)</f>
        <v xml:space="preserve"> </v>
      </c>
      <c r="L59" s="249" t="str">
        <f>IF($C26=""," ",VLOOKUP($C26,Ergänzungsfutter!$A$11:$BE$26,24,FALSE)*$F26)</f>
        <v xml:space="preserve"> </v>
      </c>
      <c r="M59" s="250" t="str">
        <f>IF($C26=""," ",VLOOKUP($C26,Ergänzungsfutter!$A$11:$BE$26,27,FALSE)*$F26)</f>
        <v xml:space="preserve"> </v>
      </c>
      <c r="N59" s="250" t="str">
        <f>IF($C26=""," ",VLOOKUP($C26,Ergänzungsfutter!$A$11:$BE$26,28,FALSE)*$F26)</f>
        <v xml:space="preserve"> </v>
      </c>
      <c r="O59" s="250" t="str">
        <f>IF($C26=""," ",VLOOKUP($C26,Ergänzungsfutter!$A$11:$BE$26,29,FALSE)*$F26)</f>
        <v xml:space="preserve"> </v>
      </c>
      <c r="P59" s="249" t="str">
        <f>IF($C26=""," ",VLOOKUP($C26,Ergänzungsfutter!$A$11:$BE$26,30,FALSE)*$F26)</f>
        <v xml:space="preserve"> </v>
      </c>
      <c r="Q59" s="249" t="str">
        <f>IF($C26=""," ",VLOOKUP($C26,Ergänzungsfutter!$A$11:$BE$26,31,FALSE)*$F26)</f>
        <v xml:space="preserve"> </v>
      </c>
      <c r="R59" s="249" t="str">
        <f>IF($C26=""," ",VLOOKUP($C26,Ergänzungsfutter!$A$11:$BE$26,32,FALSE)*$F26)</f>
        <v xml:space="preserve"> </v>
      </c>
      <c r="S59" s="249" t="str">
        <f>IF($C26=""," ",VLOOKUP($C26,Ergänzungsfutter!$A$11:$BE$26,33,FALSE)*$F26)</f>
        <v xml:space="preserve"> </v>
      </c>
      <c r="T59" s="249" t="str">
        <f>IF($C26=""," ",VLOOKUP($C26,Ergänzungsfutter!$A$11:$BE$26,34,FALSE)*$F26)</f>
        <v xml:space="preserve"> </v>
      </c>
      <c r="U59" s="249" t="str">
        <f>IF($C26=""," ",VLOOKUP($C26,Ergänzungsfutter!$A$11:$BE$26,35,FALSE)*$F26)</f>
        <v xml:space="preserve"> </v>
      </c>
      <c r="V59" s="249" t="str">
        <f>IF($C26=""," ",VLOOKUP($C26,Ergänzungsfutter!$A$11:$BE$26,36,FALSE)*$F26)</f>
        <v xml:space="preserve"> </v>
      </c>
      <c r="W59" s="249" t="str">
        <f>IF($C26=""," ",VLOOKUP($C26,Ergänzungsfutter!$A$11:$BE$26,35,FALSE)*$F26)</f>
        <v xml:space="preserve"> </v>
      </c>
      <c r="X59" s="249" t="str">
        <f>IF($C26=""," ",VLOOKUP($C26,Ergänzungsfutter!$A$11:$BE$26,37,FALSE)*$F26)</f>
        <v xml:space="preserve"> </v>
      </c>
      <c r="Y59" s="249"/>
      <c r="Z59" s="249"/>
      <c r="AA59" s="1302" t="str">
        <f>IF($C26=""," ",VLOOKUP($C26,Ergänzungsfutter!$A$11:$BE$26,37,FALSE)*$F26)</f>
        <v xml:space="preserve"> </v>
      </c>
    </row>
    <row r="60" spans="1:27" ht="19" customHeight="1" thickBot="1">
      <c r="B60" s="496" t="s">
        <v>32</v>
      </c>
      <c r="C60" s="1668" t="s">
        <v>208</v>
      </c>
      <c r="D60" s="1669"/>
      <c r="E60" s="1562"/>
      <c r="F60" s="1323"/>
      <c r="G60" s="483"/>
      <c r="H60" s="483"/>
      <c r="I60" s="1296"/>
      <c r="J60" s="861"/>
      <c r="K60" s="861"/>
      <c r="L60" s="861"/>
      <c r="M60" s="483"/>
      <c r="N60" s="483"/>
      <c r="O60" s="483"/>
      <c r="P60" s="861"/>
      <c r="Q60" s="861"/>
      <c r="R60" s="861"/>
      <c r="S60" s="861"/>
      <c r="T60" s="861"/>
      <c r="U60" s="861"/>
      <c r="V60" s="861"/>
      <c r="W60" s="861"/>
      <c r="X60" s="861"/>
      <c r="Y60" s="861"/>
      <c r="Z60" s="861"/>
      <c r="AA60" s="1303"/>
    </row>
    <row r="61" spans="1:27" ht="19" customHeight="1">
      <c r="B61" s="794">
        <f>B28</f>
        <v>5</v>
      </c>
      <c r="C61" s="1649" t="str">
        <f>IF(C28=""," ",C28)</f>
        <v>Optimales MinFu AM 850g TZ 3,5% + Phytase</v>
      </c>
      <c r="D61" s="1650"/>
      <c r="E61" s="797">
        <f>IF(E28=""," ",E28)</f>
        <v>81</v>
      </c>
      <c r="F61" s="1317">
        <f>IF(F28=""," ",F28)</f>
        <v>3.5000000000000003E-2</v>
      </c>
      <c r="G61" s="250">
        <f>IF($C28=""," ",VLOOKUP($C28,Mineralfutter!$A$11:$BE$25,10,FALSE)*$F28)</f>
        <v>0.56000000000000005</v>
      </c>
      <c r="H61" s="250">
        <f>IF($C28=""," ",VLOOKUP($C28,Mineralfutter!$A$11:$BE$25,10,FALSE)*$F28)</f>
        <v>0.56000000000000005</v>
      </c>
      <c r="I61" s="249">
        <f>IF($C28=""," ",VLOOKUP($C28,Mineralfutter!$A$11:$BE$25,21,FALSE)*$F28)</f>
        <v>0</v>
      </c>
      <c r="J61" s="249">
        <f>IF($C28=""," ",VLOOKUP($C28,Mineralfutter!$A$11:$BE$25,22,FALSE)*$F28)</f>
        <v>0</v>
      </c>
      <c r="K61" s="249">
        <f>IF($C28=""," ",VLOOKUP($C28,Mineralfutter!$A$11:$BE$25,23,FALSE)*$F28)</f>
        <v>0</v>
      </c>
      <c r="L61" s="249">
        <f>IF($C28=""," ",VLOOKUP($C28,Mineralfutter!$A$11:$BE$25,24,FALSE)*$F28)</f>
        <v>25.025000000000002</v>
      </c>
      <c r="M61" s="250">
        <f>IF($C28=""," ",VLOOKUP($C28,Mineralfutter!$A$11:$BE$25,27,FALSE)*$F28)</f>
        <v>0</v>
      </c>
      <c r="N61" s="250">
        <f>IF($C28=""," ",VLOOKUP($C28,Mineralfutter!$A$11:$BE$25,28,FALSE)*$F28)</f>
        <v>0</v>
      </c>
      <c r="O61" s="250">
        <f>IF($C28=""," ",VLOOKUP($C28,Mineralfutter!$A$11:$BE$25,29,FALSE)*$F28)</f>
        <v>0</v>
      </c>
      <c r="P61" s="249">
        <f>IF($C28=""," ",VLOOKUP($C28,Mineralfutter!$A$11:$BE$25,30,FALSE)*$F28)</f>
        <v>6055.0000000000009</v>
      </c>
      <c r="Q61" s="249">
        <f>IF($C28=""," ",VLOOKUP($C28,Mineralfutter!$A$11:$BE$25,31,FALSE)*$F28)</f>
        <v>1513.7500000000002</v>
      </c>
      <c r="R61" s="249">
        <f>IF($C28=""," ",VLOOKUP($C28,Mineralfutter!$A$11:$BE$25,32,FALSE)*$F28)</f>
        <v>61.250000000000007</v>
      </c>
      <c r="S61" s="249">
        <f>IF($C28=""," ",VLOOKUP($C28,Mineralfutter!$A$11:$BE$25,33,FALSE)*$F28)</f>
        <v>273.29577464788736</v>
      </c>
      <c r="T61" s="249">
        <f>IF($C28=""," ",VLOOKUP($C28,Mineralfutter!$A$11:$BE$25,34,FALSE)*$F28)</f>
        <v>114.41736820124321</v>
      </c>
      <c r="U61" s="249">
        <f>IF($C28=""," ",VLOOKUP($C28,Mineralfutter!$A$11:$BE$25,35,FALSE)*$F28)</f>
        <v>0</v>
      </c>
      <c r="V61" s="249"/>
      <c r="W61" s="249"/>
      <c r="X61" s="249">
        <f>IF($C28=""," ",VLOOKUP($C28,Mineralfutter!$A$11:$BE$25,36,FALSE)*$F28)</f>
        <v>0</v>
      </c>
      <c r="Y61" s="249"/>
      <c r="Z61" s="249"/>
      <c r="AA61" s="1302">
        <f>IF($C28=""," ",VLOOKUP($C28,Mineralfutter!$A$11:$BE$25,37,FALSE)*$F28)</f>
        <v>0</v>
      </c>
    </row>
    <row r="62" spans="1:27" ht="19" customHeight="1" thickBot="1">
      <c r="B62" s="795" t="str">
        <f>B29</f>
        <v xml:space="preserve"> </v>
      </c>
      <c r="C62" s="1666" t="str">
        <f>IF(C29=""," ",C29)</f>
        <v xml:space="preserve"> </v>
      </c>
      <c r="D62" s="1667"/>
      <c r="E62" s="799" t="str">
        <f>IF(E29=""," ",E29)</f>
        <v xml:space="preserve"> </v>
      </c>
      <c r="F62" s="1319" t="str">
        <f>IF(F29=""," ",F29)</f>
        <v xml:space="preserve"> </v>
      </c>
      <c r="G62" s="843" t="str">
        <f>IF($C29=""," ",VLOOKUP($C29,Mineralfutter!$A$11:$BE$25,10,FALSE)*$F29)</f>
        <v xml:space="preserve"> </v>
      </c>
      <c r="H62" s="843" t="str">
        <f>IF($C29=""," ",VLOOKUP($C29,Mineralfutter!$A$11:$BE$25,10,FALSE)*$F29)</f>
        <v xml:space="preserve"> </v>
      </c>
      <c r="I62" s="804" t="str">
        <f>IF($C29=""," ",VLOOKUP($C29,Mineralfutter!$A$11:$BE$25,21,FALSE)*$F29)</f>
        <v xml:space="preserve"> </v>
      </c>
      <c r="J62" s="804" t="str">
        <f>IF($C29=""," ",VLOOKUP($C29,Mineralfutter!$A$11:$BE$25,22,FALSE)*$F29)</f>
        <v xml:space="preserve"> </v>
      </c>
      <c r="K62" s="804" t="str">
        <f>IF($C29=""," ",VLOOKUP($C29,Mineralfutter!$A$11:$BE$25,23,FALSE)*$F29)</f>
        <v xml:space="preserve"> </v>
      </c>
      <c r="L62" s="804" t="str">
        <f>IF($C29=""," ",VLOOKUP($C29,Mineralfutter!$A$11:$BE$25,24,FALSE)*$F29)</f>
        <v xml:space="preserve"> </v>
      </c>
      <c r="M62" s="843" t="str">
        <f>IF($C29=""," ",VLOOKUP($C29,Mineralfutter!$A$11:$BE$25,27,FALSE)*$F29)</f>
        <v xml:space="preserve"> </v>
      </c>
      <c r="N62" s="843" t="str">
        <f>IF($C29=""," ",VLOOKUP($C29,Mineralfutter!$A$11:$BE$25,28,FALSE)*$F29)</f>
        <v xml:space="preserve"> </v>
      </c>
      <c r="O62" s="843" t="str">
        <f>IF($C29=""," ",VLOOKUP($C29,Mineralfutter!$A$11:$BE$25,29,FALSE)*$F29)</f>
        <v xml:space="preserve"> </v>
      </c>
      <c r="P62" s="804" t="str">
        <f>IF($C29=""," ",VLOOKUP($C29,Mineralfutter!$A$11:$BE$25,30,FALSE)*$F29)</f>
        <v xml:space="preserve"> </v>
      </c>
      <c r="Q62" s="804" t="str">
        <f>IF($C29=""," ",VLOOKUP($C29,Mineralfutter!$A$11:$BE$25,31,FALSE)*$F29)</f>
        <v xml:space="preserve"> </v>
      </c>
      <c r="R62" s="804" t="str">
        <f>IF($C29=""," ",VLOOKUP($C29,Mineralfutter!$A$11:$BE$25,32,FALSE)*$F29)</f>
        <v xml:space="preserve"> </v>
      </c>
      <c r="S62" s="804" t="str">
        <f>IF($C29=""," ",VLOOKUP($C29,Mineralfutter!$A$11:$BE$25,33,FALSE)*$F29)</f>
        <v xml:space="preserve"> </v>
      </c>
      <c r="T62" s="804" t="str">
        <f>IF($C29=""," ",VLOOKUP($C29,Mineralfutter!$A$11:$BE$25,34,FALSE)*$F29)</f>
        <v xml:space="preserve"> </v>
      </c>
      <c r="U62" s="804" t="str">
        <f>IF($C29=""," ",VLOOKUP($C29,Mineralfutter!$A$11:$BE$25,35,FALSE)*$F29)</f>
        <v xml:space="preserve"> </v>
      </c>
      <c r="V62" s="804"/>
      <c r="W62" s="804"/>
      <c r="X62" s="804" t="str">
        <f>IF($C29=""," ",VLOOKUP($C29,Mineralfutter!$A$11:$BE$25,36,FALSE)*$F29)</f>
        <v xml:space="preserve"> </v>
      </c>
      <c r="Y62" s="804"/>
      <c r="Z62" s="804"/>
      <c r="AA62" s="1306" t="str">
        <f>IF($C29=""," ",VLOOKUP($C29,Mineralfutter!$A$11:$BE$25,37,FALSE)*$F29)</f>
        <v xml:space="preserve"> </v>
      </c>
    </row>
    <row r="63" spans="1:27" ht="19" customHeight="1" thickBot="1">
      <c r="B63" s="489"/>
      <c r="C63" s="1665" t="s">
        <v>27</v>
      </c>
      <c r="D63" s="1665"/>
      <c r="E63" s="509">
        <f>AC30</f>
        <v>19.0427</v>
      </c>
      <c r="F63" s="510">
        <f>IF(SUM(F13:F29,F36:F37)=0," ",SUM(F13:F29,F36:F37))</f>
        <v>1</v>
      </c>
      <c r="G63" s="859">
        <f>IF(F30=" "," ",SUM(G46:G62,Q36*$F36,Q37*$F37*0.525))</f>
        <v>2.8891318590909094</v>
      </c>
      <c r="H63" s="859">
        <f>IF(F30=" "," ",SUM(H46:H62,R36*$F36,R37*$F37*0.525))</f>
        <v>2.5801732039999998</v>
      </c>
      <c r="I63" s="816">
        <f>IF(F30=" "," ",SUM(I46:I62))</f>
        <v>28.897000000000002</v>
      </c>
      <c r="J63" s="816">
        <f>IF(F30=" "," ",SUM(J46:J62))</f>
        <v>461.55000000000007</v>
      </c>
      <c r="K63" s="816">
        <f>IF(F30=" "," ",SUM(K46:K62))</f>
        <v>34.945000000000007</v>
      </c>
      <c r="L63" s="816">
        <f>IF(F30=" "," ",SUM(L46:L62,F36*650))</f>
        <v>50.862000000000009</v>
      </c>
      <c r="M63" s="859">
        <f>IF(F30=" "," ",SUM(M46:M62))</f>
        <v>14.336589655172414</v>
      </c>
      <c r="N63" s="859">
        <f>IF(F30=" "," ",SUM(N46:N62))</f>
        <v>12.529927586206897</v>
      </c>
      <c r="O63" s="859">
        <f>IF(F30=" "," ",SUM(O46:O62))</f>
        <v>1.8108620689655173</v>
      </c>
      <c r="P63" s="816">
        <f>IF(F30=" "," ",SUM(P46:P62))</f>
        <v>6055.0000000000009</v>
      </c>
      <c r="Q63" s="816">
        <f>IF(F30=" "," ",SUM(Q46:Q62))</f>
        <v>1513.7500000000002</v>
      </c>
      <c r="R63" s="816">
        <f>IF(F30=" "," ",SUM(R46:R62))</f>
        <v>61.250000000000007</v>
      </c>
      <c r="S63" s="816">
        <f>IF(F30=" "," ",SUM(S46:S62))</f>
        <v>300.44018022608526</v>
      </c>
      <c r="T63" s="816">
        <f>IF(F30=" "," ",SUM(T46:T62))</f>
        <v>596.95134287001167</v>
      </c>
      <c r="U63" s="816">
        <f>IF(F30=" "," ",SUM(U46:U62))</f>
        <v>69.560340000000039</v>
      </c>
      <c r="V63" s="816">
        <f>IF(H30=" "," ",SUM(V46:V62))</f>
        <v>209.96706889386479</v>
      </c>
      <c r="W63" s="816">
        <f>IF(I30=" "," ",SUM(W46:W62))</f>
        <v>46.673775598348008</v>
      </c>
      <c r="X63" s="816">
        <f>IF(H30=" "," ",SUM(X46:X62))</f>
        <v>600.82600000000014</v>
      </c>
      <c r="Y63" s="816">
        <f>IF(K30=" "," ",SUM(Y46:Y62))</f>
        <v>0</v>
      </c>
      <c r="Z63" s="816">
        <f>IF(J30=" "," ",SUM(Z46:Z62))</f>
        <v>0</v>
      </c>
      <c r="AA63" s="1307">
        <f>IF(AA30=" "," ",SUM(AA46:AA62,AK36*$F36,AK37*$F37*0.525))</f>
        <v>6.4226009195402298</v>
      </c>
    </row>
    <row r="64" spans="1:27" ht="19" customHeight="1" thickBot="1">
      <c r="B64" s="495"/>
      <c r="C64" s="1665" t="s">
        <v>249</v>
      </c>
      <c r="D64" s="1665"/>
      <c r="E64" s="511">
        <f>AC31</f>
        <v>18.923567540709623</v>
      </c>
      <c r="F64" s="510">
        <f>F30</f>
        <v>1</v>
      </c>
      <c r="G64" s="860">
        <f>IF($F31=" "," ",ROUND($I31*G63/$I30*$F31,1))</f>
        <v>2.9</v>
      </c>
      <c r="H64" s="860">
        <f>IF($F31=" "," ",ROUND($I31*H63/$I30*$F31,1))</f>
        <v>2.6</v>
      </c>
      <c r="I64" s="498">
        <f>IF($F31=" "," ",ROUND($I31*I63/$I30*$F31,0))</f>
        <v>29</v>
      </c>
      <c r="J64" s="498">
        <f>IF($F31=" "," ",ROUND($I31*J63/$I30*$F31,0))</f>
        <v>459</v>
      </c>
      <c r="K64" s="498">
        <f>IF($F31=" "," ",ROUND($I31*K63/$I30*$F31,0))</f>
        <v>35</v>
      </c>
      <c r="L64" s="498">
        <f>IF($F31=" "," ",ROUND($I31*L63/$I30*$F31,0))</f>
        <v>51</v>
      </c>
      <c r="M64" s="860">
        <f>IF($F31=" "," ",ROUND($I31*M63/$I30*$F31,1))</f>
        <v>14.2</v>
      </c>
      <c r="N64" s="860">
        <f>IF($F31=" "," ",ROUND($I31*N63/$I30*$F31,1))</f>
        <v>12.5</v>
      </c>
      <c r="O64" s="860">
        <f>IF($F31=" "," ",ROUND($I31*O63/$I30*$F31,1))</f>
        <v>1.8</v>
      </c>
      <c r="P64" s="498">
        <f>IF($F31=" "," ",ROUND($I31*P63/$I30*$F31,0))</f>
        <v>6017</v>
      </c>
      <c r="Q64" s="805">
        <f>IF($F31=" "," ",ROUND($I31*Q63/$I30*$F31,0))</f>
        <v>1504</v>
      </c>
      <c r="R64" s="498">
        <f>IF($F31=" "," ",ROUND($I31*R63/$I30*$F31,0))</f>
        <v>61</v>
      </c>
      <c r="S64" s="498">
        <f>IF($F31=" "," ",ROUND($I31*S63/$I30*$F31,0))</f>
        <v>299</v>
      </c>
      <c r="T64" s="498">
        <f>IF($F31=" "," ",ROUND($I31*T63/$I30*$F31,0))</f>
        <v>593</v>
      </c>
      <c r="U64" s="498">
        <f t="shared" ref="U64:W64" si="12">IF($F31=" "," ",ROUND($I31*U63/$I30*$F31,1))</f>
        <v>69.099999999999994</v>
      </c>
      <c r="V64" s="498">
        <f t="shared" si="12"/>
        <v>208.7</v>
      </c>
      <c r="W64" s="498">
        <f t="shared" si="12"/>
        <v>46.4</v>
      </c>
      <c r="X64" s="498">
        <f t="shared" ref="X64:Z64" si="13">IF($F31=" "," ",ROUND($I31*X63/$I30*$F31,1))</f>
        <v>597.1</v>
      </c>
      <c r="Y64" s="498">
        <f t="shared" si="13"/>
        <v>0</v>
      </c>
      <c r="Z64" s="498">
        <f t="shared" si="13"/>
        <v>0</v>
      </c>
      <c r="AA64" s="1563">
        <f t="shared" ref="AA64" si="14">IF($F31=" "," ",ROUND($I31*AA63/$I30*$F31,1))</f>
        <v>6.4</v>
      </c>
    </row>
    <row r="65" spans="2:27" ht="19" customHeight="1" thickBot="1">
      <c r="B65" s="496" t="s">
        <v>235</v>
      </c>
      <c r="C65" s="1664" t="s">
        <v>617</v>
      </c>
      <c r="D65" s="1665"/>
      <c r="E65" s="1665"/>
      <c r="F65" s="254"/>
      <c r="G65" s="249"/>
      <c r="H65" s="249"/>
      <c r="I65" s="250"/>
      <c r="J65" s="862"/>
      <c r="K65" s="862"/>
      <c r="L65" s="249"/>
      <c r="M65" s="250"/>
      <c r="N65" s="250"/>
      <c r="O65" s="250"/>
      <c r="P65" s="249"/>
      <c r="Q65" s="249"/>
      <c r="R65" s="249"/>
      <c r="S65" s="862"/>
      <c r="T65" s="249"/>
      <c r="U65" s="249"/>
      <c r="V65" s="863"/>
      <c r="W65" s="863"/>
      <c r="X65" s="249"/>
      <c r="Y65" s="863"/>
      <c r="Z65" s="249"/>
      <c r="AA65" s="1329"/>
    </row>
    <row r="66" spans="2:27" ht="19" customHeight="1">
      <c r="B66" s="494">
        <f>B33</f>
        <v>10</v>
      </c>
      <c r="C66" s="1670" t="str">
        <f>IF(C33=""," ",C33)</f>
        <v>Anfangsmast ab 40 Kg LM für 850 g TZ*</v>
      </c>
      <c r="D66" s="1671"/>
      <c r="E66" s="514" t="s">
        <v>28</v>
      </c>
      <c r="F66" s="515">
        <f>F30</f>
        <v>1</v>
      </c>
      <c r="G66" s="486">
        <f>IF($C33=""," ",ROUND(VLOOKUP($C$33,Orientierungswerte!$A$13:$AZ$117,30,FALSE)*$F$33,1))</f>
        <v>2.9</v>
      </c>
      <c r="H66" s="486">
        <f>IF($C33=""," ",ROUND(VLOOKUP($C$33,Orientierungswerte!$A$13:$AZ$117,31,FALSE)*$F$33,1))</f>
        <v>2.6</v>
      </c>
      <c r="I66" s="486">
        <f>IF($C33=""," ",ROUND(VLOOKUP($C$33,Orientierungswerte!$A$13:$AZ$117,33,FALSE)*$F$33,0))</f>
        <v>0</v>
      </c>
      <c r="J66" s="487">
        <f>IF($C33=""," ",ROUND(VLOOKUP($C$33,Orientierungswerte!$A$13:$AZ$117,34,FALSE)*$F$33,0))</f>
        <v>0</v>
      </c>
      <c r="K66" s="487">
        <f>IF($C33=""," ",ROUND(VLOOKUP($C$33,Orientierungswerte!$A$13:$AZ$117,35,FALSE)*$F$33,0))</f>
        <v>0</v>
      </c>
      <c r="L66" s="487">
        <f>IF($C33=""," ",ROUND(VLOOKUP($C$33,Orientierungswerte!$A$13:$AZ$117,36,FALSE)*$F$33,0))</f>
        <v>0</v>
      </c>
      <c r="M66" s="486">
        <f>IF($C33=""," ",ROUND(VLOOKUP($C$33,Orientierungswerte!$A$13:$AZ$117,37,FALSE)*$F$33,1))</f>
        <v>17.7</v>
      </c>
      <c r="N66" s="486">
        <f>IF($C33=""," ",ROUND(VLOOKUP($C$33,Orientierungswerte!$A$13:$AZ$117,38,FALSE)*$F$33,1))</f>
        <v>9.9</v>
      </c>
      <c r="O66" s="486">
        <f>IF($C33=""," ",ROUND(VLOOKUP($C$33,Orientierungswerte!$A$13:$AZ$117,39,FALSE)*$F$33,1))</f>
        <v>0</v>
      </c>
      <c r="P66" s="487">
        <f>IF($C33=""," ",ROUND(VLOOKUP($C$33,Orientierungswerte!$A$13:$AZ$117,40,FALSE)*$F$33,0))</f>
        <v>6000</v>
      </c>
      <c r="Q66" s="487">
        <f>IF($C33=""," ",ROUND(VLOOKUP($C$33,Orientierungswerte!$A$13:$AZ$117,41,FALSE)*$F$33,0))</f>
        <v>1500</v>
      </c>
      <c r="R66" s="487">
        <f>IF($C33=""," ",ROUND(VLOOKUP($C$33,Orientierungswerte!$A$13:$AZ$117,42,FALSE)*$F$33,0))</f>
        <v>60</v>
      </c>
      <c r="S66" s="1356">
        <f>IF($C33=""," ",ROUND(VLOOKUP($C$33,Orientierungswerte!$A$13:$AZ$117,43,FALSE)*$F$33,1))</f>
        <v>0</v>
      </c>
      <c r="T66" s="487">
        <f>IF($C33=""," ",ROUND(VLOOKUP($C$33,Orientierungswerte!$A$13:$AZ$117,44,FALSE)*$F$33,1))</f>
        <v>0</v>
      </c>
      <c r="U66" s="1357">
        <f>IF($C33=""," ",ROUND(VLOOKUP($C$33,Orientierungswerte!$A$13:$AZ$117,47,FALSE)*$F$33,1))</f>
        <v>0</v>
      </c>
      <c r="V66" s="1357">
        <f>IF($C33=""," ",ROUND(VLOOKUP($C$33,Orientierungswerte!$A$13:$AZ$117,46,FALSE)*$F$33,1))</f>
        <v>120</v>
      </c>
      <c r="W66" s="1356">
        <f>IF($C33=""," ",ROUND(VLOOKUP($C$33,Orientierungswerte!$A$13:$AZ$117,45,FALSE)*$F$33,1))</f>
        <v>70</v>
      </c>
      <c r="X66" s="487">
        <f>IF($C33=""," ",ROUND(VLOOKUP($C$33,Orientierungswerte!$A$13:$AZ$117,49,FALSE)*$F$33,1))</f>
        <v>0</v>
      </c>
      <c r="Y66" s="1356"/>
      <c r="Z66" s="487">
        <f>IF($C33=""," ",ROUND(VLOOKUP($C$33,Orientierungswerte!$A$13:$AZ$117,49,FALSE)*$F$33,1))</f>
        <v>0</v>
      </c>
      <c r="AA66" s="1330">
        <f>IF($C33=""," ",ROUND(VLOOKUP($C$33,Orientierungswerte!$A$13:$AZ$117,48,FALSE)*$F$33,1))</f>
        <v>0</v>
      </c>
    </row>
    <row r="67" spans="2:27" ht="19" customHeight="1" thickBot="1">
      <c r="B67" s="497"/>
      <c r="C67" s="1662" t="s">
        <v>250</v>
      </c>
      <c r="D67" s="1663"/>
      <c r="E67" s="516" t="s">
        <v>28</v>
      </c>
      <c r="F67" s="517">
        <f>IF($C$33=""," ",ROUND((1-F31)*-1,4))</f>
        <v>0</v>
      </c>
      <c r="G67" s="807">
        <f>IF($C$33=""," ",ROUND(G64-G66,1))</f>
        <v>0</v>
      </c>
      <c r="H67" s="877">
        <f>IF($C$33=""," ",ROUND(H64-H66,1))</f>
        <v>0</v>
      </c>
      <c r="I67" s="806">
        <f>IF($C$33=""," ",ROUND(I64-I66,0))</f>
        <v>29</v>
      </c>
      <c r="J67" s="806">
        <f>IF($C$33=""," ",ROUND(J64-J66,0))</f>
        <v>459</v>
      </c>
      <c r="K67" s="806">
        <f>IF($C$33=""," ",ROUND(K64-K66,0))</f>
        <v>35</v>
      </c>
      <c r="L67" s="806">
        <f>IF($C$33=""," ",ROUND(L64-L66,0))</f>
        <v>51</v>
      </c>
      <c r="M67" s="807">
        <f>IF($C$33=""," ",ROUND(M64-M66,1))</f>
        <v>-3.5</v>
      </c>
      <c r="N67" s="807">
        <f>IF($C$33=""," ",ROUND(N64-N66,1))</f>
        <v>2.6</v>
      </c>
      <c r="O67" s="807">
        <f>IF($C$33=""," ",ROUND(O64-O66,1))</f>
        <v>1.8</v>
      </c>
      <c r="P67" s="806">
        <f t="shared" ref="P67:U67" si="15">IF($C$33=""," ",ROUND(P64-P66,0))</f>
        <v>17</v>
      </c>
      <c r="Q67" s="806">
        <f t="shared" si="15"/>
        <v>4</v>
      </c>
      <c r="R67" s="806">
        <f t="shared" si="15"/>
        <v>1</v>
      </c>
      <c r="S67" s="807">
        <f t="shared" si="15"/>
        <v>299</v>
      </c>
      <c r="T67" s="806">
        <f t="shared" si="15"/>
        <v>593</v>
      </c>
      <c r="U67" s="806">
        <f t="shared" si="15"/>
        <v>69</v>
      </c>
      <c r="V67" s="806">
        <f t="shared" ref="V67" si="16">IF($C$33=""," ",ROUND(V64-V66,0))</f>
        <v>89</v>
      </c>
      <c r="W67" s="807">
        <f>IF($C$33=""," ",ROUND(W64-W66,1))</f>
        <v>-23.6</v>
      </c>
      <c r="X67" s="806">
        <f t="shared" ref="X67:Z67" si="17">IF($C$33=""," ",ROUND(X64-X66,0))</f>
        <v>597</v>
      </c>
      <c r="Y67" s="807">
        <f>IF($C$33=""," ",ROUND(Y64-Y66,1))</f>
        <v>0</v>
      </c>
      <c r="Z67" s="806">
        <f t="shared" si="17"/>
        <v>0</v>
      </c>
      <c r="AA67" s="1564">
        <f t="shared" ref="AA67" si="18">IF($C$33=""," ",ROUND(AA64-AA66,0))</f>
        <v>6</v>
      </c>
    </row>
  </sheetData>
  <sheetProtection sheet="1" objects="1" scenarios="1" selectLockedCells="1"/>
  <protectedRanges>
    <protectedRange sqref="H5:P7" name="Bereich1"/>
  </protectedRanges>
  <customSheetViews>
    <customSheetView guid="{459F3284-99E1-4A46-80B6-CF44B0CB392E}" scale="68" fitToPage="1">
      <selection activeCell="C22" sqref="C22:D22"/>
      <printOptions horizontalCentered="1" verticalCentered="1"/>
      <pageSetup paperSize="9" scale="68" orientation="landscape"/>
      <headerFooter alignWithMargins="0">
        <oddFooter>&amp;F</oddFooter>
      </headerFooter>
    </customSheetView>
  </customSheetViews>
  <mergeCells count="67">
    <mergeCell ref="C4:D4"/>
    <mergeCell ref="P7:V7"/>
    <mergeCell ref="I12:L12"/>
    <mergeCell ref="O12:AB12"/>
    <mergeCell ref="M12:N12"/>
    <mergeCell ref="H7:O7"/>
    <mergeCell ref="Z7:AC7"/>
    <mergeCell ref="Z8:AC8"/>
    <mergeCell ref="C12:D12"/>
    <mergeCell ref="Z5:AC5"/>
    <mergeCell ref="Z6:AC6"/>
    <mergeCell ref="Z3:AC4"/>
    <mergeCell ref="H6:R6"/>
    <mergeCell ref="J8:U8"/>
    <mergeCell ref="H5:R5"/>
    <mergeCell ref="B38:B39"/>
    <mergeCell ref="C30:D30"/>
    <mergeCell ref="C23:D23"/>
    <mergeCell ref="C31:D31"/>
    <mergeCell ref="B35:E35"/>
    <mergeCell ref="C28:D28"/>
    <mergeCell ref="C29:D29"/>
    <mergeCell ref="C33:D33"/>
    <mergeCell ref="C32:E32"/>
    <mergeCell ref="C13:D13"/>
    <mergeCell ref="C14:D14"/>
    <mergeCell ref="C15:D15"/>
    <mergeCell ref="C20:D20"/>
    <mergeCell ref="C19:D19"/>
    <mergeCell ref="C16:D16"/>
    <mergeCell ref="C17:D17"/>
    <mergeCell ref="C18:D18"/>
    <mergeCell ref="C22:D22"/>
    <mergeCell ref="C27:D27"/>
    <mergeCell ref="C21:D21"/>
    <mergeCell ref="Z39:AC39"/>
    <mergeCell ref="F39:G39"/>
    <mergeCell ref="C34:D34"/>
    <mergeCell ref="P45:T45"/>
    <mergeCell ref="X38:Y38"/>
    <mergeCell ref="L39:R39"/>
    <mergeCell ref="T39:U39"/>
    <mergeCell ref="U45:AA45"/>
    <mergeCell ref="C67:D67"/>
    <mergeCell ref="C65:E65"/>
    <mergeCell ref="C55:D55"/>
    <mergeCell ref="C56:D56"/>
    <mergeCell ref="C60:D60"/>
    <mergeCell ref="C61:D61"/>
    <mergeCell ref="C66:D66"/>
    <mergeCell ref="C62:D62"/>
    <mergeCell ref="C63:D63"/>
    <mergeCell ref="C64:D64"/>
    <mergeCell ref="C54:D54"/>
    <mergeCell ref="I39:J39"/>
    <mergeCell ref="C52:D52"/>
    <mergeCell ref="C53:D53"/>
    <mergeCell ref="C51:D51"/>
    <mergeCell ref="C41:D41"/>
    <mergeCell ref="C50:D50"/>
    <mergeCell ref="C46:D46"/>
    <mergeCell ref="C47:D47"/>
    <mergeCell ref="C48:D48"/>
    <mergeCell ref="C49:D49"/>
    <mergeCell ref="C45:D45"/>
    <mergeCell ref="C40:D40"/>
    <mergeCell ref="G45:O45"/>
  </mergeCells>
  <phoneticPr fontId="2" type="noConversion"/>
  <conditionalFormatting sqref="G67:H67 J67:L67 M34:AB34 P67:S67 U67:Y67">
    <cfRule type="cellIs" dxfId="75" priority="92" stopIfTrue="1" operator="between">
      <formula>-0.09</formula>
      <formula>0.09</formula>
    </cfRule>
  </conditionalFormatting>
  <conditionalFormatting sqref="G67:I67 I34:L34 N34">
    <cfRule type="cellIs" dxfId="74" priority="93" stopIfTrue="1" operator="lessThan">
      <formula>-0.099</formula>
    </cfRule>
    <cfRule type="cellIs" dxfId="73" priority="94" stopIfTrue="1" operator="greaterThan">
      <formula>0.099</formula>
    </cfRule>
    <cfRule type="cellIs" dxfId="72" priority="95" stopIfTrue="1" operator="between">
      <formula>-0.099</formula>
      <formula>0.099</formula>
    </cfRule>
  </conditionalFormatting>
  <conditionalFormatting sqref="F67 F34 H34">
    <cfRule type="cellIs" dxfId="71" priority="96" stopIfTrue="1" operator="lessThan">
      <formula>-0.000099</formula>
    </cfRule>
    <cfRule type="cellIs" dxfId="70" priority="97" stopIfTrue="1" operator="greaterThan">
      <formula>0.000099</formula>
    </cfRule>
    <cfRule type="cellIs" dxfId="69" priority="98" stopIfTrue="1" operator="between">
      <formula>-0.000099</formula>
      <formula>0.000099</formula>
    </cfRule>
  </conditionalFormatting>
  <conditionalFormatting sqref="I36:K37 M36:N37">
    <cfRule type="cellIs" dxfId="68" priority="99" stopIfTrue="1" operator="equal">
      <formula>0</formula>
    </cfRule>
  </conditionalFormatting>
  <conditionalFormatting sqref="P36:P37 R36:R37 T36:T37 V36:V37 Y36:Z37 AC36:AC37">
    <cfRule type="cellIs" dxfId="67" priority="100" stopIfTrue="1" operator="equal">
      <formula>0</formula>
    </cfRule>
  </conditionalFormatting>
  <conditionalFormatting sqref="I37 K37 N33 I36:N36 I13:AB29 M37 G46:AA62 G66:AA66">
    <cfRule type="cellIs" dxfId="66" priority="71" stopIfTrue="1" operator="equal">
      <formula>0</formula>
    </cfRule>
  </conditionalFormatting>
  <conditionalFormatting sqref="J67:L67 G67:H67 M34:AB34 P67:S67 U67:Y67">
    <cfRule type="cellIs" dxfId="65" priority="90" stopIfTrue="1" operator="lessThan">
      <formula>-0.09</formula>
    </cfRule>
  </conditionalFormatting>
  <conditionalFormatting sqref="G67:H67 N34 J67:L67 K68:W667 P67:S67 U67:Y67">
    <cfRule type="cellIs" dxfId="64" priority="91" stopIfTrue="1" operator="greaterThan">
      <formula>0.09</formula>
    </cfRule>
  </conditionalFormatting>
  <conditionalFormatting sqref="T67">
    <cfRule type="cellIs" dxfId="63" priority="62" operator="between">
      <formula>-0.09</formula>
      <formula>0.09</formula>
    </cfRule>
    <cfRule type="cellIs" dxfId="62" priority="63" operator="greaterThan">
      <formula>0.09</formula>
    </cfRule>
    <cfRule type="cellIs" dxfId="61" priority="64" operator="lessThan">
      <formula>-0.09</formula>
    </cfRule>
  </conditionalFormatting>
  <conditionalFormatting sqref="M67:O67 X67">
    <cfRule type="cellIs" dxfId="60" priority="59" operator="between">
      <formula>-0.09</formula>
      <formula>0.09</formula>
    </cfRule>
    <cfRule type="cellIs" dxfId="59" priority="60" operator="greaterThan">
      <formula>0.09</formula>
    </cfRule>
    <cfRule type="cellIs" dxfId="58" priority="61" operator="lessThan">
      <formula>-0.09</formula>
    </cfRule>
  </conditionalFormatting>
  <conditionalFormatting sqref="S67">
    <cfRule type="cellIs" dxfId="57" priority="49" operator="between">
      <formula>-0.09</formula>
      <formula>0.09</formula>
    </cfRule>
    <cfRule type="cellIs" dxfId="56" priority="50" operator="greaterThan">
      <formula>0.09</formula>
    </cfRule>
    <cfRule type="cellIs" dxfId="55" priority="51" operator="lessThan">
      <formula>-0.09</formula>
    </cfRule>
  </conditionalFormatting>
  <conditionalFormatting sqref="Z67">
    <cfRule type="cellIs" dxfId="54" priority="48" stopIfTrue="1" operator="between">
      <formula>-0.09</formula>
      <formula>0.09</formula>
    </cfRule>
  </conditionalFormatting>
  <conditionalFormatting sqref="Z67">
    <cfRule type="cellIs" dxfId="53" priority="47" stopIfTrue="1" operator="lessThan">
      <formula>-0.09</formula>
    </cfRule>
  </conditionalFormatting>
  <conditionalFormatting sqref="Z67">
    <cfRule type="cellIs" dxfId="52" priority="46" stopIfTrue="1" operator="greaterThan">
      <formula>0.09</formula>
    </cfRule>
  </conditionalFormatting>
  <conditionalFormatting sqref="W67">
    <cfRule type="cellIs" dxfId="51" priority="43" operator="between">
      <formula>-0.09</formula>
      <formula>0.09</formula>
    </cfRule>
    <cfRule type="cellIs" dxfId="50" priority="44" operator="greaterThan">
      <formula>0.09</formula>
    </cfRule>
    <cfRule type="cellIs" dxfId="49" priority="45" operator="lessThan">
      <formula>-0.09</formula>
    </cfRule>
  </conditionalFormatting>
  <conditionalFormatting sqref="AA67">
    <cfRule type="cellIs" dxfId="48" priority="42" stopIfTrue="1" operator="between">
      <formula>-0.09</formula>
      <formula>0.09</formula>
    </cfRule>
  </conditionalFormatting>
  <conditionalFormatting sqref="AA67">
    <cfRule type="cellIs" dxfId="47" priority="41" stopIfTrue="1" operator="lessThan">
      <formula>-0.09</formula>
    </cfRule>
  </conditionalFormatting>
  <conditionalFormatting sqref="AA67">
    <cfRule type="cellIs" dxfId="46" priority="40" stopIfTrue="1" operator="greaterThan">
      <formula>0.09</formula>
    </cfRule>
  </conditionalFormatting>
  <conditionalFormatting sqref="Z67">
    <cfRule type="cellIs" dxfId="45" priority="39" stopIfTrue="1" operator="between">
      <formula>-0.09</formula>
      <formula>0.09</formula>
    </cfRule>
  </conditionalFormatting>
  <conditionalFormatting sqref="Z67">
    <cfRule type="cellIs" dxfId="44" priority="38" stopIfTrue="1" operator="lessThan">
      <formula>-0.09</formula>
    </cfRule>
  </conditionalFormatting>
  <conditionalFormatting sqref="Z67">
    <cfRule type="cellIs" dxfId="43" priority="37" stopIfTrue="1" operator="greaterThan">
      <formula>0.09</formula>
    </cfRule>
  </conditionalFormatting>
  <conditionalFormatting sqref="V67">
    <cfRule type="cellIs" dxfId="42" priority="34" operator="between">
      <formula>-0.09</formula>
      <formula>0.09</formula>
    </cfRule>
    <cfRule type="cellIs" dxfId="41" priority="35" operator="greaterThan">
      <formula>0.09</formula>
    </cfRule>
    <cfRule type="cellIs" dxfId="40" priority="36" operator="lessThan">
      <formula>-0.09</formula>
    </cfRule>
  </conditionalFormatting>
  <conditionalFormatting sqref="X67">
    <cfRule type="cellIs" dxfId="39" priority="33" stopIfTrue="1" operator="between">
      <formula>-0.09</formula>
      <formula>0.09</formula>
    </cfRule>
  </conditionalFormatting>
  <conditionalFormatting sqref="X67">
    <cfRule type="cellIs" dxfId="38" priority="32" stopIfTrue="1" operator="lessThan">
      <formula>-0.09</formula>
    </cfRule>
  </conditionalFormatting>
  <conditionalFormatting sqref="X67">
    <cfRule type="cellIs" dxfId="37" priority="31" stopIfTrue="1" operator="greaterThan">
      <formula>0.09</formula>
    </cfRule>
  </conditionalFormatting>
  <conditionalFormatting sqref="X67">
    <cfRule type="cellIs" dxfId="36" priority="30" stopIfTrue="1" operator="between">
      <formula>-0.09</formula>
      <formula>0.09</formula>
    </cfRule>
  </conditionalFormatting>
  <conditionalFormatting sqref="X67">
    <cfRule type="cellIs" dxfId="35" priority="29" stopIfTrue="1" operator="lessThan">
      <formula>-0.09</formula>
    </cfRule>
  </conditionalFormatting>
  <conditionalFormatting sqref="X67">
    <cfRule type="cellIs" dxfId="34" priority="28" stopIfTrue="1" operator="greaterThan">
      <formula>0.09</formula>
    </cfRule>
  </conditionalFormatting>
  <conditionalFormatting sqref="Y67">
    <cfRule type="cellIs" dxfId="33" priority="27" stopIfTrue="1" operator="between">
      <formula>-0.09</formula>
      <formula>0.09</formula>
    </cfRule>
  </conditionalFormatting>
  <conditionalFormatting sqref="Y67">
    <cfRule type="cellIs" dxfId="32" priority="26" stopIfTrue="1" operator="lessThan">
      <formula>-0.09</formula>
    </cfRule>
  </conditionalFormatting>
  <conditionalFormatting sqref="Y67">
    <cfRule type="cellIs" dxfId="31" priority="25" stopIfTrue="1" operator="greaterThan">
      <formula>0.09</formula>
    </cfRule>
  </conditionalFormatting>
  <conditionalFormatting sqref="Y67">
    <cfRule type="cellIs" dxfId="30" priority="24" stopIfTrue="1" operator="between">
      <formula>-0.09</formula>
      <formula>0.09</formula>
    </cfRule>
  </conditionalFormatting>
  <conditionalFormatting sqref="Y67">
    <cfRule type="cellIs" dxfId="29" priority="23" stopIfTrue="1" operator="lessThan">
      <formula>-0.09</formula>
    </cfRule>
  </conditionalFormatting>
  <conditionalFormatting sqref="Y67">
    <cfRule type="cellIs" dxfId="28" priority="22" stopIfTrue="1" operator="greaterThan">
      <formula>0.09</formula>
    </cfRule>
  </conditionalFormatting>
  <conditionalFormatting sqref="W67">
    <cfRule type="cellIs" dxfId="27" priority="21" stopIfTrue="1" operator="between">
      <formula>-0.09</formula>
      <formula>0.09</formula>
    </cfRule>
  </conditionalFormatting>
  <conditionalFormatting sqref="W67">
    <cfRule type="cellIs" dxfId="26" priority="20" stopIfTrue="1" operator="lessThan">
      <formula>-0.09</formula>
    </cfRule>
  </conditionalFormatting>
  <conditionalFormatting sqref="W67">
    <cfRule type="cellIs" dxfId="25" priority="19" stopIfTrue="1" operator="greaterThan">
      <formula>0.09</formula>
    </cfRule>
  </conditionalFormatting>
  <conditionalFormatting sqref="Y67">
    <cfRule type="cellIs" dxfId="24" priority="16" operator="between">
      <formula>-0.09</formula>
      <formula>0.09</formula>
    </cfRule>
    <cfRule type="cellIs" dxfId="23" priority="17" operator="greaterThan">
      <formula>0.09</formula>
    </cfRule>
    <cfRule type="cellIs" dxfId="22" priority="18" operator="lessThan">
      <formula>-0.09</formula>
    </cfRule>
  </conditionalFormatting>
  <conditionalFormatting sqref="V67">
    <cfRule type="cellIs" dxfId="21" priority="13" operator="between">
      <formula>-0.09</formula>
      <formula>0.09</formula>
    </cfRule>
    <cfRule type="cellIs" dxfId="20" priority="14" operator="greaterThan">
      <formula>0.09</formula>
    </cfRule>
    <cfRule type="cellIs" dxfId="19" priority="15" operator="lessThan">
      <formula>-0.09</formula>
    </cfRule>
  </conditionalFormatting>
  <conditionalFormatting sqref="V67">
    <cfRule type="cellIs" dxfId="18" priority="12" stopIfTrue="1" operator="between">
      <formula>-0.09</formula>
      <formula>0.09</formula>
    </cfRule>
  </conditionalFormatting>
  <conditionalFormatting sqref="V67">
    <cfRule type="cellIs" dxfId="17" priority="11" stopIfTrue="1" operator="lessThan">
      <formula>-0.09</formula>
    </cfRule>
  </conditionalFormatting>
  <conditionalFormatting sqref="V67">
    <cfRule type="cellIs" dxfId="16" priority="10" stopIfTrue="1" operator="greaterThan">
      <formula>0.09</formula>
    </cfRule>
  </conditionalFormatting>
  <conditionalFormatting sqref="W67">
    <cfRule type="cellIs" dxfId="15" priority="9" stopIfTrue="1" operator="between">
      <formula>-0.09</formula>
      <formula>0.09</formula>
    </cfRule>
  </conditionalFormatting>
  <conditionalFormatting sqref="W67">
    <cfRule type="cellIs" dxfId="14" priority="8" stopIfTrue="1" operator="lessThan">
      <formula>-0.09</formula>
    </cfRule>
  </conditionalFormatting>
  <conditionalFormatting sqref="W67">
    <cfRule type="cellIs" dxfId="13" priority="7" stopIfTrue="1" operator="greaterThan">
      <formula>0.09</formula>
    </cfRule>
  </conditionalFormatting>
  <conditionalFormatting sqref="W67">
    <cfRule type="cellIs" dxfId="12" priority="6" stopIfTrue="1" operator="between">
      <formula>-0.09</formula>
      <formula>0.09</formula>
    </cfRule>
  </conditionalFormatting>
  <conditionalFormatting sqref="W67">
    <cfRule type="cellIs" dxfId="11" priority="5" stopIfTrue="1" operator="lessThan">
      <formula>-0.09</formula>
    </cfRule>
  </conditionalFormatting>
  <conditionalFormatting sqref="W67">
    <cfRule type="cellIs" dxfId="10" priority="4" stopIfTrue="1" operator="greaterThan">
      <formula>0.09</formula>
    </cfRule>
  </conditionalFormatting>
  <conditionalFormatting sqref="W67">
    <cfRule type="cellIs" dxfId="9" priority="1" operator="between">
      <formula>-0.09</formula>
      <formula>0.09</formula>
    </cfRule>
    <cfRule type="cellIs" dxfId="8" priority="2" operator="greaterThan">
      <formula>0.09</formula>
    </cfRule>
    <cfRule type="cellIs" dxfId="7" priority="3" operator="lessThan">
      <formula>-0.09</formula>
    </cfRule>
  </conditionalFormatting>
  <dataValidations count="4">
    <dataValidation type="list" allowBlank="1" showInputMessage="1" showErrorMessage="1" sqref="C33:D33">
      <formula1>Orientierungswerte</formula1>
    </dataValidation>
    <dataValidation type="list" allowBlank="1" showInputMessage="1" showErrorMessage="1" sqref="C13:C23">
      <formula1>Futtermittel</formula1>
    </dataValidation>
    <dataValidation type="list" allowBlank="1" showErrorMessage="1" sqref="C25:C26">
      <formula1>Ergänzungsfutter_neu</formula1>
    </dataValidation>
    <dataValidation type="list" allowBlank="1" showInputMessage="1" showErrorMessage="1" sqref="C28:D29">
      <formula1>Mineralfutter_neu</formula1>
    </dataValidation>
  </dataValidations>
  <printOptions horizontalCentered="1"/>
  <pageMargins left="0.51181102362204722" right="0.51181102362204722" top="1.1811023622047245" bottom="1.1811023622047245" header="0.51181102362204722" footer="0.51181102362204722"/>
  <pageSetup paperSize="9" scale="56" fitToHeight="2" orientation="landscape"/>
  <headerFooter alignWithMargins="0">
    <oddFooter>&amp;F</oddFooter>
  </headerFooter>
  <cellWatches>
    <cellWatch r="C25"/>
  </cellWatche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5" r:id="rId3" name="Button 261">
              <controlPr defaultSize="0" print="0" autoFill="0" autoPict="0" macro="[0]!Startseite">
                <anchor moveWithCells="1">
                  <from>
                    <xdr:col>1</xdr:col>
                    <xdr:colOff>12700</xdr:colOff>
                    <xdr:row>1</xdr:row>
                    <xdr:rowOff>0</xdr:rowOff>
                  </from>
                  <to>
                    <xdr:col>2</xdr:col>
                    <xdr:colOff>1104900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86" r:id="rId4" name="Button 262">
              <controlPr defaultSize="0" print="0" autoFill="0" autoPict="0" macro="[0]!FuMi_Liste">
                <anchor moveWithCells="1">
                  <from>
                    <xdr:col>2</xdr:col>
                    <xdr:colOff>1346200</xdr:colOff>
                    <xdr:row>1</xdr:row>
                    <xdr:rowOff>12700</xdr:rowOff>
                  </from>
                  <to>
                    <xdr:col>4</xdr:col>
                    <xdr:colOff>304800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88" r:id="rId5" name="Button 264">
              <controlPr defaultSize="0" print="0" autoFill="0" autoPict="0" macro="[0]!Richtwerte">
                <anchor moveWithCells="1">
                  <from>
                    <xdr:col>12</xdr:col>
                    <xdr:colOff>254000</xdr:colOff>
                    <xdr:row>1</xdr:row>
                    <xdr:rowOff>0</xdr:rowOff>
                  </from>
                  <to>
                    <xdr:col>16</xdr:col>
                    <xdr:colOff>127000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89" r:id="rId6" name="Button 265">
              <controlPr defaultSize="0" print="0" autoFill="0" autoPict="0" macro="[0]!Höchstgehalte">
                <anchor moveWithCells="1">
                  <from>
                    <xdr:col>16</xdr:col>
                    <xdr:colOff>304800</xdr:colOff>
                    <xdr:row>1</xdr:row>
                    <xdr:rowOff>0</xdr:rowOff>
                  </from>
                  <to>
                    <xdr:col>20</xdr:col>
                    <xdr:colOff>177800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0" r:id="rId7" name="Button 266">
              <controlPr defaultSize="0" print="0" autoFill="0" autoPict="0" macro="[0]!neue_Ration_rechnen">
                <anchor moveWithCells="1">
                  <from>
                    <xdr:col>20</xdr:col>
                    <xdr:colOff>368300</xdr:colOff>
                    <xdr:row>1</xdr:row>
                    <xdr:rowOff>12700</xdr:rowOff>
                  </from>
                  <to>
                    <xdr:col>24</xdr:col>
                    <xdr:colOff>215900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0" r:id="rId8" name="Button 276">
              <controlPr defaultSize="0" print="0" autoFill="0" autoPict="0" macro="[0]!Modul9.Mineralfutter">
                <anchor moveWithCells="1">
                  <from>
                    <xdr:col>4</xdr:col>
                    <xdr:colOff>584200</xdr:colOff>
                    <xdr:row>1</xdr:row>
                    <xdr:rowOff>12700</xdr:rowOff>
                  </from>
                  <to>
                    <xdr:col>7</xdr:col>
                    <xdr:colOff>342900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1" r:id="rId9" name="Button 277">
              <controlPr defaultSize="0" print="0" autoFill="0" autoPict="0" macro="[0]!Modul9.Ergänzungsfutter">
                <anchor moveWithCells="1">
                  <from>
                    <xdr:col>8</xdr:col>
                    <xdr:colOff>114300</xdr:colOff>
                    <xdr:row>1</xdr:row>
                    <xdr:rowOff>12700</xdr:rowOff>
                  </from>
                  <to>
                    <xdr:col>11</xdr:col>
                    <xdr:colOff>444500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2" r:id="rId10" name="Button 278">
              <controlPr defaultSize="0" print="0" autoFill="0" autoPict="0" macro="[0]!Ausdruck">
                <anchor moveWithCells="1">
                  <from>
                    <xdr:col>24</xdr:col>
                    <xdr:colOff>406400</xdr:colOff>
                    <xdr:row>1</xdr:row>
                    <xdr:rowOff>0</xdr:rowOff>
                  </from>
                  <to>
                    <xdr:col>28</xdr:col>
                    <xdr:colOff>292100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>
    <tabColor indexed="51"/>
    <pageSetUpPr fitToPage="1"/>
  </sheetPr>
  <dimension ref="A1:EO265"/>
  <sheetViews>
    <sheetView showGridLines="0" showRowColHeaders="0" topLeftCell="B1" workbookViewId="0">
      <pane xSplit="6" ySplit="7" topLeftCell="H8" activePane="bottomRight" state="frozen"/>
      <selection activeCell="B1" sqref="B1"/>
      <selection pane="topRight" activeCell="H1" sqref="H1"/>
      <selection pane="bottomLeft" activeCell="B8" sqref="B8"/>
      <selection pane="bottomRight" activeCell="AE35" sqref="AE35"/>
    </sheetView>
  </sheetViews>
  <sheetFormatPr baseColWidth="10" defaultRowHeight="10" x14ac:dyDescent="0"/>
  <cols>
    <col min="1" max="1" width="46" style="7" hidden="1" customWidth="1"/>
    <col min="2" max="2" width="3.5" style="9" customWidth="1"/>
    <col min="3" max="3" width="1.1640625" style="9" customWidth="1"/>
    <col min="4" max="4" width="32.5" style="7" customWidth="1"/>
    <col min="5" max="5" width="8.6640625" style="10" customWidth="1"/>
    <col min="6" max="6" width="7.5" style="10" customWidth="1"/>
    <col min="7" max="7" width="7.5" style="5" customWidth="1"/>
    <col min="8" max="11" width="10.6640625" style="11" customWidth="1"/>
    <col min="12" max="12" width="10.6640625" style="606" customWidth="1"/>
    <col min="13" max="13" width="10.6640625" style="9" customWidth="1"/>
    <col min="14" max="14" width="10.6640625" style="6" customWidth="1"/>
    <col min="15" max="15" width="10.6640625" style="8" customWidth="1"/>
    <col min="16" max="16" width="10.6640625" style="6" customWidth="1"/>
    <col min="17" max="17" width="10.6640625" style="8" customWidth="1"/>
    <col min="18" max="18" width="10.6640625" style="9" customWidth="1"/>
    <col min="19" max="19" width="10.6640625" style="12" customWidth="1"/>
    <col min="20" max="20" width="10.6640625" style="9" customWidth="1"/>
    <col min="21" max="21" width="10.6640625" style="12" customWidth="1"/>
    <col min="22" max="23" width="10.6640625" style="9" customWidth="1"/>
    <col min="24" max="24" width="10.6640625" style="12" customWidth="1"/>
    <col min="25" max="25" width="10.6640625" style="8" customWidth="1"/>
    <col min="26" max="26" width="10.6640625" style="9" customWidth="1"/>
    <col min="27" max="27" width="10.6640625" style="93" customWidth="1"/>
    <col min="28" max="30" width="10.6640625" style="9" customWidth="1"/>
    <col min="31" max="43" width="10.83203125" style="287"/>
    <col min="44" max="44" width="10.83203125" style="846"/>
    <col min="45" max="49" width="10.83203125" style="613"/>
    <col min="50" max="52" width="10.83203125" style="287"/>
    <col min="53" max="54" width="10.83203125" style="613"/>
    <col min="55" max="55" width="0" style="613" hidden="1" customWidth="1"/>
    <col min="56" max="143" width="10.83203125" style="287"/>
    <col min="144" max="16384" width="10.83203125" style="9"/>
  </cols>
  <sheetData>
    <row r="1" spans="1:143" s="99" customFormat="1" ht="5.25" customHeight="1"/>
    <row r="2" spans="1:143" s="99" customFormat="1" ht="24" customHeight="1"/>
    <row r="3" spans="1:143" s="99" customFormat="1" ht="3.75" customHeight="1">
      <c r="Z3" s="14"/>
      <c r="AA3" s="14"/>
      <c r="AB3" s="14"/>
    </row>
    <row r="4" spans="1:143" s="638" customFormat="1" ht="50">
      <c r="A4" s="951" t="s">
        <v>358</v>
      </c>
      <c r="B4" s="633" t="s">
        <v>32</v>
      </c>
      <c r="C4" s="952"/>
      <c r="D4" s="951" t="s">
        <v>23</v>
      </c>
      <c r="E4" s="1054" t="s">
        <v>653</v>
      </c>
      <c r="F4" s="952" t="s">
        <v>548</v>
      </c>
      <c r="G4" s="953" t="s">
        <v>552</v>
      </c>
      <c r="H4" s="850" t="s">
        <v>280</v>
      </c>
      <c r="I4" s="850" t="s">
        <v>281</v>
      </c>
      <c r="J4" s="850" t="s">
        <v>282</v>
      </c>
      <c r="K4" s="850" t="s">
        <v>345</v>
      </c>
      <c r="L4" s="954" t="s">
        <v>691</v>
      </c>
      <c r="M4" s="955" t="s">
        <v>693</v>
      </c>
      <c r="N4" s="955" t="s">
        <v>283</v>
      </c>
      <c r="O4" s="634" t="s">
        <v>538</v>
      </c>
      <c r="P4" s="955" t="s">
        <v>284</v>
      </c>
      <c r="Q4" s="634" t="s">
        <v>539</v>
      </c>
      <c r="R4" s="955" t="s">
        <v>346</v>
      </c>
      <c r="S4" s="634" t="s">
        <v>540</v>
      </c>
      <c r="T4" s="955" t="s">
        <v>347</v>
      </c>
      <c r="U4" s="634" t="s">
        <v>541</v>
      </c>
      <c r="V4" s="955" t="s">
        <v>348</v>
      </c>
      <c r="W4" s="955" t="s">
        <v>349</v>
      </c>
      <c r="X4" s="634" t="s">
        <v>285</v>
      </c>
      <c r="Y4" s="634" t="s">
        <v>13</v>
      </c>
      <c r="Z4" s="956" t="s">
        <v>350</v>
      </c>
      <c r="AA4" s="954" t="s">
        <v>312</v>
      </c>
      <c r="AB4" s="955" t="s">
        <v>351</v>
      </c>
      <c r="AC4" s="955" t="s">
        <v>536</v>
      </c>
      <c r="AD4" s="634" t="s">
        <v>537</v>
      </c>
      <c r="AE4" s="850" t="s">
        <v>524</v>
      </c>
      <c r="AF4" s="850" t="s">
        <v>525</v>
      </c>
      <c r="AG4" s="850" t="s">
        <v>526</v>
      </c>
      <c r="AH4" s="850" t="s">
        <v>527</v>
      </c>
      <c r="AI4" s="850" t="s">
        <v>690</v>
      </c>
      <c r="AJ4" s="850" t="s">
        <v>689</v>
      </c>
      <c r="AK4" s="957" t="s">
        <v>529</v>
      </c>
      <c r="AL4" s="957" t="s">
        <v>528</v>
      </c>
      <c r="AM4" s="957" t="s">
        <v>530</v>
      </c>
      <c r="AN4" s="850" t="s">
        <v>1058</v>
      </c>
      <c r="AO4" s="850" t="s">
        <v>1059</v>
      </c>
      <c r="AP4" s="850" t="s">
        <v>1060</v>
      </c>
      <c r="AQ4" s="635" t="s">
        <v>740</v>
      </c>
      <c r="AR4" s="636" t="s">
        <v>995</v>
      </c>
      <c r="AS4" s="849" t="s">
        <v>1057</v>
      </c>
      <c r="AT4" s="849" t="s">
        <v>992</v>
      </c>
      <c r="AU4" s="850" t="s">
        <v>686</v>
      </c>
      <c r="AV4" s="850" t="s">
        <v>687</v>
      </c>
      <c r="AW4" s="850" t="s">
        <v>688</v>
      </c>
      <c r="AX4" s="850" t="s">
        <v>619</v>
      </c>
      <c r="AY4" s="850" t="s">
        <v>620</v>
      </c>
      <c r="AZ4" s="954" t="s">
        <v>735</v>
      </c>
      <c r="BA4" s="849" t="s">
        <v>993</v>
      </c>
      <c r="BB4" s="849" t="s">
        <v>994</v>
      </c>
      <c r="BC4" s="849" t="s">
        <v>1021</v>
      </c>
      <c r="BD4" s="637"/>
      <c r="BE4" s="637"/>
      <c r="BF4" s="637"/>
      <c r="BG4" s="637"/>
      <c r="BH4" s="637"/>
      <c r="BI4" s="637"/>
      <c r="BJ4" s="637"/>
      <c r="BK4" s="637"/>
      <c r="BL4" s="637"/>
      <c r="BM4" s="637"/>
      <c r="BN4" s="637"/>
      <c r="BO4" s="637"/>
      <c r="BP4" s="637"/>
      <c r="BQ4" s="637"/>
      <c r="BR4" s="637"/>
      <c r="BS4" s="637"/>
      <c r="BT4" s="637"/>
      <c r="BU4" s="637"/>
      <c r="BV4" s="637"/>
      <c r="BW4" s="637"/>
      <c r="BX4" s="637"/>
      <c r="BY4" s="637"/>
      <c r="BZ4" s="637"/>
      <c r="CA4" s="637"/>
      <c r="CB4" s="637"/>
      <c r="CC4" s="637"/>
      <c r="CD4" s="637"/>
      <c r="CE4" s="637"/>
      <c r="CF4" s="637"/>
      <c r="CG4" s="637"/>
      <c r="CH4" s="637"/>
      <c r="CI4" s="637"/>
      <c r="CJ4" s="637"/>
      <c r="CK4" s="637"/>
      <c r="CL4" s="637"/>
      <c r="CM4" s="637"/>
      <c r="CN4" s="637"/>
      <c r="CO4" s="637"/>
      <c r="CP4" s="637"/>
      <c r="CQ4" s="637"/>
      <c r="CR4" s="637"/>
      <c r="CS4" s="637"/>
      <c r="CT4" s="637"/>
      <c r="CU4" s="637"/>
      <c r="CV4" s="637"/>
      <c r="CW4" s="637"/>
      <c r="CX4" s="637"/>
      <c r="CY4" s="637"/>
      <c r="CZ4" s="637"/>
      <c r="DA4" s="637"/>
      <c r="DB4" s="637"/>
      <c r="DC4" s="637"/>
      <c r="DD4" s="637"/>
      <c r="DE4" s="637"/>
      <c r="DF4" s="637"/>
      <c r="DG4" s="637"/>
      <c r="DH4" s="637"/>
      <c r="DI4" s="637"/>
      <c r="DJ4" s="637"/>
      <c r="DK4" s="637"/>
      <c r="DL4" s="637"/>
      <c r="DM4" s="637"/>
      <c r="DN4" s="637"/>
      <c r="DO4" s="637"/>
      <c r="DP4" s="637"/>
      <c r="DQ4" s="637"/>
      <c r="DR4" s="637"/>
      <c r="DS4" s="637"/>
      <c r="DT4" s="637"/>
      <c r="DU4" s="637"/>
      <c r="DV4" s="637"/>
      <c r="DW4" s="637"/>
      <c r="DX4" s="637"/>
      <c r="DY4" s="637"/>
      <c r="DZ4" s="637"/>
      <c r="EA4" s="637"/>
      <c r="EB4" s="637"/>
      <c r="EC4" s="637"/>
      <c r="ED4" s="637"/>
      <c r="EE4" s="637"/>
      <c r="EF4" s="637"/>
      <c r="EG4" s="637"/>
      <c r="EH4" s="637"/>
      <c r="EI4" s="637"/>
      <c r="EJ4" s="637"/>
      <c r="EK4" s="637"/>
      <c r="EL4" s="637"/>
      <c r="EM4" s="637"/>
    </row>
    <row r="5" spans="1:143" s="384" customFormat="1">
      <c r="A5" s="958"/>
      <c r="B5" s="639"/>
      <c r="C5" s="959"/>
      <c r="D5" s="958"/>
      <c r="E5" s="960" t="s">
        <v>255</v>
      </c>
      <c r="F5" s="961"/>
      <c r="G5" s="960" t="s">
        <v>35</v>
      </c>
      <c r="H5" s="752" t="s">
        <v>36</v>
      </c>
      <c r="I5" s="752" t="s">
        <v>36</v>
      </c>
      <c r="J5" s="752" t="s">
        <v>36</v>
      </c>
      <c r="K5" s="752" t="s">
        <v>36</v>
      </c>
      <c r="L5" s="962" t="s">
        <v>37</v>
      </c>
      <c r="M5" s="963" t="s">
        <v>37</v>
      </c>
      <c r="N5" s="963" t="s">
        <v>36</v>
      </c>
      <c r="O5" s="640" t="s">
        <v>36</v>
      </c>
      <c r="P5" s="963" t="s">
        <v>36</v>
      </c>
      <c r="Q5" s="640" t="s">
        <v>36</v>
      </c>
      <c r="R5" s="963" t="s">
        <v>36</v>
      </c>
      <c r="S5" s="640" t="s">
        <v>36</v>
      </c>
      <c r="T5" s="963" t="s">
        <v>36</v>
      </c>
      <c r="U5" s="640" t="s">
        <v>36</v>
      </c>
      <c r="V5" s="963" t="s">
        <v>36</v>
      </c>
      <c r="W5" s="963" t="s">
        <v>36</v>
      </c>
      <c r="X5" s="640" t="s">
        <v>36</v>
      </c>
      <c r="Y5" s="640" t="s">
        <v>36</v>
      </c>
      <c r="Z5" s="964" t="s">
        <v>36</v>
      </c>
      <c r="AA5" s="962" t="s">
        <v>36</v>
      </c>
      <c r="AB5" s="963" t="s">
        <v>36</v>
      </c>
      <c r="AC5" s="963" t="s">
        <v>36</v>
      </c>
      <c r="AD5" s="640" t="s">
        <v>36</v>
      </c>
      <c r="AE5" s="752" t="s">
        <v>36</v>
      </c>
      <c r="AF5" s="752" t="s">
        <v>36</v>
      </c>
      <c r="AG5" s="752" t="s">
        <v>36</v>
      </c>
      <c r="AH5" s="752" t="s">
        <v>36</v>
      </c>
      <c r="AI5" s="752" t="s">
        <v>36</v>
      </c>
      <c r="AJ5" s="752" t="s">
        <v>36</v>
      </c>
      <c r="AK5" s="752" t="s">
        <v>36</v>
      </c>
      <c r="AL5" s="752" t="s">
        <v>36</v>
      </c>
      <c r="AM5" s="752" t="s">
        <v>36</v>
      </c>
      <c r="AN5" s="752" t="s">
        <v>534</v>
      </c>
      <c r="AO5" s="752" t="s">
        <v>534</v>
      </c>
      <c r="AP5" s="752" t="s">
        <v>377</v>
      </c>
      <c r="AQ5" s="641" t="s">
        <v>737</v>
      </c>
      <c r="AR5" s="642" t="s">
        <v>535</v>
      </c>
      <c r="AS5" s="848" t="s">
        <v>36</v>
      </c>
      <c r="AT5" s="848" t="s">
        <v>36</v>
      </c>
      <c r="AU5" s="752" t="s">
        <v>29</v>
      </c>
      <c r="AV5" s="752" t="s">
        <v>29</v>
      </c>
      <c r="AW5" s="752" t="s">
        <v>29</v>
      </c>
      <c r="AX5" s="752" t="s">
        <v>29</v>
      </c>
      <c r="AY5" s="752" t="s">
        <v>29</v>
      </c>
      <c r="AZ5" s="962" t="s">
        <v>36</v>
      </c>
      <c r="BA5" s="848" t="s">
        <v>36</v>
      </c>
      <c r="BB5" s="848" t="s">
        <v>36</v>
      </c>
      <c r="BC5" s="848" t="s">
        <v>1020</v>
      </c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  <c r="DQ5" s="383"/>
      <c r="DR5" s="383"/>
      <c r="DS5" s="383"/>
      <c r="DT5" s="383"/>
      <c r="DU5" s="383"/>
      <c r="DV5" s="383"/>
      <c r="DW5" s="383"/>
      <c r="DX5" s="383"/>
      <c r="DY5" s="383"/>
      <c r="DZ5" s="383"/>
      <c r="EA5" s="383"/>
      <c r="EB5" s="383"/>
      <c r="EC5" s="383"/>
      <c r="ED5" s="383"/>
      <c r="EE5" s="383"/>
      <c r="EF5" s="383"/>
      <c r="EG5" s="383"/>
      <c r="EH5" s="383"/>
      <c r="EI5" s="383"/>
      <c r="EJ5" s="383"/>
      <c r="EK5" s="383"/>
      <c r="EL5" s="383"/>
      <c r="EM5" s="383"/>
    </row>
    <row r="6" spans="1:143" s="384" customFormat="1" ht="12">
      <c r="A6" s="965" t="s">
        <v>38</v>
      </c>
      <c r="B6" s="643"/>
      <c r="C6" s="965"/>
      <c r="D6" s="1727" t="s">
        <v>39</v>
      </c>
      <c r="E6" s="1728"/>
      <c r="F6" s="1728"/>
      <c r="G6" s="1728"/>
      <c r="H6" s="1728"/>
      <c r="I6" s="1728"/>
      <c r="J6" s="1728"/>
      <c r="K6" s="1728"/>
      <c r="L6" s="1728"/>
      <c r="M6" s="1728"/>
      <c r="N6" s="1728"/>
      <c r="O6" s="1728"/>
      <c r="P6" s="1727" t="s">
        <v>39</v>
      </c>
      <c r="Q6" s="1728"/>
      <c r="R6" s="1728"/>
      <c r="S6" s="1728"/>
      <c r="T6" s="1728"/>
      <c r="U6" s="1728"/>
      <c r="V6" s="1728"/>
      <c r="W6" s="1728"/>
      <c r="X6" s="1728"/>
      <c r="Y6" s="1728"/>
      <c r="Z6" s="1728"/>
      <c r="AA6" s="1728"/>
      <c r="AB6" s="1729"/>
      <c r="AC6" s="1724" t="s">
        <v>39</v>
      </c>
      <c r="AD6" s="1725"/>
      <c r="AE6" s="1725"/>
      <c r="AF6" s="1725"/>
      <c r="AG6" s="1725"/>
      <c r="AH6" s="1725"/>
      <c r="AI6" s="1725"/>
      <c r="AJ6" s="1725"/>
      <c r="AK6" s="1725"/>
      <c r="AL6" s="1725"/>
      <c r="AM6" s="1725"/>
      <c r="AN6" s="1725"/>
      <c r="AO6" s="1725"/>
      <c r="AP6" s="1725"/>
      <c r="AQ6" s="1726"/>
      <c r="AR6" s="644" t="s">
        <v>547</v>
      </c>
      <c r="AS6" s="857" t="s">
        <v>621</v>
      </c>
      <c r="AT6" s="857" t="s">
        <v>621</v>
      </c>
      <c r="AU6" s="857"/>
      <c r="AV6" s="857"/>
      <c r="AW6" s="857"/>
      <c r="AX6" s="844"/>
      <c r="AY6" s="844"/>
      <c r="AZ6" s="1335" t="s">
        <v>621</v>
      </c>
      <c r="BA6" s="857" t="s">
        <v>621</v>
      </c>
      <c r="BB6" s="857" t="s">
        <v>621</v>
      </c>
      <c r="BC6" s="857" t="s">
        <v>621</v>
      </c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3"/>
      <c r="DN6" s="383"/>
      <c r="DO6" s="383"/>
      <c r="DP6" s="383"/>
      <c r="DQ6" s="383"/>
      <c r="DR6" s="383"/>
      <c r="DS6" s="383"/>
      <c r="DT6" s="383"/>
      <c r="DU6" s="383"/>
      <c r="DV6" s="383"/>
      <c r="DW6" s="383"/>
      <c r="DX6" s="383"/>
      <c r="DY6" s="383"/>
      <c r="DZ6" s="383"/>
      <c r="EA6" s="383"/>
      <c r="EB6" s="383"/>
      <c r="EC6" s="383"/>
      <c r="ED6" s="383"/>
      <c r="EE6" s="383"/>
      <c r="EF6" s="383"/>
      <c r="EG6" s="383"/>
      <c r="EH6" s="383"/>
      <c r="EI6" s="383"/>
      <c r="EJ6" s="383"/>
      <c r="EK6" s="383"/>
      <c r="EL6" s="383"/>
      <c r="EM6" s="383"/>
    </row>
    <row r="7" spans="1:143" s="384" customFormat="1">
      <c r="A7" s="966"/>
      <c r="B7" s="643"/>
      <c r="C7" s="966"/>
      <c r="D7" s="985" t="s">
        <v>38</v>
      </c>
      <c r="E7" s="645"/>
      <c r="F7" s="645"/>
      <c r="G7" s="646"/>
      <c r="H7" s="647"/>
      <c r="I7" s="648"/>
      <c r="J7" s="648"/>
      <c r="K7" s="648"/>
      <c r="L7" s="649"/>
      <c r="M7" s="653"/>
      <c r="N7" s="650"/>
      <c r="O7" s="651"/>
      <c r="P7" s="650"/>
      <c r="Q7" s="651"/>
      <c r="R7" s="652"/>
      <c r="S7" s="653"/>
      <c r="T7" s="653"/>
      <c r="U7" s="653"/>
      <c r="V7" s="653"/>
      <c r="W7" s="653"/>
      <c r="X7" s="967"/>
      <c r="Y7" s="653"/>
      <c r="Z7" s="653"/>
      <c r="AA7" s="653"/>
      <c r="AB7" s="654"/>
      <c r="AC7" s="653"/>
      <c r="AD7" s="653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858"/>
      <c r="AT7" s="858"/>
      <c r="AU7" s="858"/>
      <c r="AV7" s="858"/>
      <c r="AW7" s="858"/>
      <c r="AX7" s="375"/>
      <c r="AY7" s="375"/>
      <c r="AZ7" s="383"/>
      <c r="BA7" s="858"/>
      <c r="BB7" s="858"/>
      <c r="BC7" s="858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  <c r="DR7" s="383"/>
      <c r="DS7" s="383"/>
      <c r="DT7" s="383"/>
      <c r="DU7" s="383"/>
      <c r="DV7" s="383"/>
      <c r="DW7" s="383"/>
      <c r="DX7" s="383"/>
      <c r="DY7" s="383"/>
      <c r="DZ7" s="383"/>
      <c r="EA7" s="383"/>
      <c r="EB7" s="383"/>
      <c r="EC7" s="383"/>
      <c r="ED7" s="383"/>
      <c r="EE7" s="383"/>
      <c r="EF7" s="383"/>
      <c r="EG7" s="383"/>
      <c r="EH7" s="383"/>
      <c r="EI7" s="383"/>
      <c r="EJ7" s="383"/>
      <c r="EK7" s="383"/>
      <c r="EL7" s="383"/>
      <c r="EM7" s="383"/>
    </row>
    <row r="8" spans="1:143" s="384" customFormat="1" ht="12.5" customHeight="1">
      <c r="A8" s="897" t="str">
        <f>IF(E8=" ",D8&amp;" "&amp;F8,D8&amp;" "&amp;E8&amp;"% RP "&amp;F8)</f>
        <v>CCM, 65 % TM bis 3 % XF auf 88 % TM 9% RP DLG 2014</v>
      </c>
      <c r="B8" s="643">
        <f>IF(D8=""," ",COUNTA($D$8:D8))</f>
        <v>1</v>
      </c>
      <c r="C8" s="375"/>
      <c r="D8" s="655" t="s">
        <v>1001</v>
      </c>
      <c r="E8" s="656">
        <f t="shared" ref="E8:E100" si="0">IF(I8=0," ",ROUND(I8/10,0))</f>
        <v>9</v>
      </c>
      <c r="F8" s="376" t="s">
        <v>969</v>
      </c>
      <c r="G8" s="377"/>
      <c r="H8" s="378">
        <v>880</v>
      </c>
      <c r="I8" s="378">
        <v>88</v>
      </c>
      <c r="J8" s="378">
        <f>I8*0.81</f>
        <v>71.28</v>
      </c>
      <c r="K8" s="378">
        <f>K9/65*88</f>
        <v>21.661538461538463</v>
      </c>
      <c r="L8" s="381">
        <f>I8*0.0205*AV8+0.0398*AW8*AE8+0.0173*AF8+0.016*$AG8+0.0147*AI8</f>
        <v>13.412773169230768</v>
      </c>
      <c r="M8" s="611">
        <f>$I8*0.021503+0.032497*$AE8+0.016309*$AF8+0.014701*$AJ8-0.021071*$K8</f>
        <v>14.108834215384613</v>
      </c>
      <c r="N8" s="274">
        <f>IF(I8=0," ",(I8/H8*550*0.0171+0.51)/550*H8)</f>
        <v>2.3208000000000002</v>
      </c>
      <c r="O8" s="380">
        <f>IF(N8=" "," ",N8*0.7)</f>
        <v>1.62456</v>
      </c>
      <c r="P8" s="274">
        <f>IF(N8=" "," ",(I8/H8*550*0.0215+1.04)/550*H8)</f>
        <v>3.5560000000000005</v>
      </c>
      <c r="Q8" s="380">
        <f>IF(N8=" "," ",P8*(0.88*1.3+1.4*0.85)/2.7)</f>
        <v>3.0739644444444449</v>
      </c>
      <c r="R8" s="274">
        <f>IF(N8=" "," ",(I8/H8*550*0.0301+0.28)/550*H8)</f>
        <v>3.0968</v>
      </c>
      <c r="S8" s="380">
        <f>IF(N8=" "," ",R8*0.85)</f>
        <v>2.6322799999999997</v>
      </c>
      <c r="T8" s="379">
        <f>T9/650*880</f>
        <v>0.67692307692307696</v>
      </c>
      <c r="U8" s="380">
        <f>T8*0.71</f>
        <v>0.48061538461538461</v>
      </c>
      <c r="V8" s="657">
        <f>0.3/65*88</f>
        <v>0.40615384615384609</v>
      </c>
      <c r="W8" s="657">
        <v>2.8</v>
      </c>
      <c r="X8" s="658">
        <f>W8*55%</f>
        <v>1.54</v>
      </c>
      <c r="Y8" s="380">
        <f>W8*0.65</f>
        <v>1.8199999999999998</v>
      </c>
      <c r="Z8" s="657">
        <f>0.8/65*88</f>
        <v>1.083076923076923</v>
      </c>
      <c r="AA8" s="659">
        <f>AA9/65*88</f>
        <v>0.13538461538461538</v>
      </c>
      <c r="AB8" s="382">
        <v>4.3</v>
      </c>
      <c r="AC8" s="610">
        <f>AC9/650*880</f>
        <v>1.76</v>
      </c>
      <c r="AD8" s="610">
        <f>AC8*0.88</f>
        <v>1.5488</v>
      </c>
      <c r="AE8" s="612">
        <f>26/$H$9*880</f>
        <v>35.200000000000003</v>
      </c>
      <c r="AF8" s="612">
        <f>423/$H$9*880</f>
        <v>572.67692307692312</v>
      </c>
      <c r="AG8" s="612">
        <f>5/$H$9*880</f>
        <v>6.7692307692307701</v>
      </c>
      <c r="AH8" s="612">
        <f>10/$H$9*880</f>
        <v>13.53846153846154</v>
      </c>
      <c r="AI8" s="612">
        <f>(H8-AH8)*AU8-I8*AV8-AE8*AW8-AF8-AG8</f>
        <v>72.606769230769203</v>
      </c>
      <c r="AJ8" s="612">
        <f>$H8-($AE8+$AF8+$AH8+$I8+$K8)</f>
        <v>148.92307692307679</v>
      </c>
      <c r="AK8" s="610">
        <f>15/58*H8/10</f>
        <v>22.758620689655174</v>
      </c>
      <c r="AL8" s="311">
        <f>$AL$23*AK8/$AK$23</f>
        <v>20.923248053392662</v>
      </c>
      <c r="AM8" s="311">
        <f>AK8-AL8</f>
        <v>1.8353726362625125</v>
      </c>
      <c r="AN8" s="612"/>
      <c r="AO8" s="612"/>
      <c r="AP8" s="612"/>
      <c r="AQ8" s="612">
        <f t="shared" ref="AQ8:AQ46" si="1">IF(H8="","",50*V8+83*Z8+26*AB8+44*AA8-59*W8-13*P8-28*AZ8)</f>
        <v>-15.499999999999986</v>
      </c>
      <c r="AR8" s="847">
        <f>IF(H8="","",V8/1000*20140+Z8/1000*48600+1100/440*I8)</f>
        <v>280.81747692307692</v>
      </c>
      <c r="AS8" s="612">
        <f>AX8*K8+AY8*AT8-AF8-AG8</f>
        <v>77.14215384615369</v>
      </c>
      <c r="AT8" s="612">
        <f>IF(H8=""," ",H8-I8-AE8-AH8-K8)</f>
        <v>721.59999999999991</v>
      </c>
      <c r="AU8" s="851">
        <v>0.86</v>
      </c>
      <c r="AV8" s="851">
        <v>0.81</v>
      </c>
      <c r="AW8" s="851">
        <v>0.62</v>
      </c>
      <c r="AX8" s="851">
        <v>0.33</v>
      </c>
      <c r="AY8" s="851">
        <v>0.9</v>
      </c>
      <c r="AZ8" s="659">
        <f>1.3*880/1000</f>
        <v>1.1439999999999999</v>
      </c>
      <c r="BA8" s="612">
        <f>BA9/$H$9*$H$8</f>
        <v>18.953846153846154</v>
      </c>
      <c r="BB8" s="612">
        <f>BB9/$H$9*$H$8</f>
        <v>59.569230769230771</v>
      </c>
      <c r="BC8" s="381">
        <f>IF(H8="","",0.73*M8+0.055*AE8+0.015*AF8-0.028*I8-0.041*K8)</f>
        <v>17.473479746461539</v>
      </c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</row>
    <row r="9" spans="1:143" s="3" customFormat="1" ht="12.5" customHeight="1">
      <c r="A9" s="897" t="str">
        <f>IF(E9=" ",D9&amp;" "&amp;F9,D9&amp;" "&amp;E9&amp;"% RP "&amp;F9)</f>
        <v>CCM, 65 % TM bis 3 % XF in TM 7% RP DLG 2014</v>
      </c>
      <c r="B9" s="298">
        <f>IF(D9=""," ",COUNTA($D$8:D9))</f>
        <v>2</v>
      </c>
      <c r="C9" s="327"/>
      <c r="D9" s="479" t="s">
        <v>1000</v>
      </c>
      <c r="E9" s="617">
        <f t="shared" si="0"/>
        <v>7</v>
      </c>
      <c r="F9" s="299" t="s">
        <v>969</v>
      </c>
      <c r="G9" s="300"/>
      <c r="H9" s="275">
        <v>650</v>
      </c>
      <c r="I9" s="275">
        <v>65</v>
      </c>
      <c r="J9" s="378">
        <f>I9*0.81</f>
        <v>52.650000000000006</v>
      </c>
      <c r="K9" s="275">
        <v>16</v>
      </c>
      <c r="L9" s="381">
        <f>I9*0.0205*AV9+0.0398*AW9*AE9+0.0173*AF9+0.016*$AG9+0.0147*AI9</f>
        <v>9.9071619999999996</v>
      </c>
      <c r="M9" s="322">
        <f>$I9*0.021503+0.032497*$AE9+0.016309*$AF9+0.014701*$AJ9-0.021071*$K9</f>
        <v>10.421298000000002</v>
      </c>
      <c r="N9" s="274">
        <f>IF(I9=0," ",(I9/H9*550*0.0171+0.51)/550*H9)</f>
        <v>1.7142272727272727</v>
      </c>
      <c r="O9" s="301">
        <f>IF(N9=" "," ",N9*0.7)</f>
        <v>1.1999590909090909</v>
      </c>
      <c r="P9" s="274">
        <f>IF(N9=" "," ",(I9/H9*550*0.0215+1.04)/550*H9)</f>
        <v>2.6265909090909094</v>
      </c>
      <c r="Q9" s="380">
        <f>IF(N9=" "," ",P9*(0.88*1.3+1.4*0.85)/2.7)</f>
        <v>2.2705419191919192</v>
      </c>
      <c r="R9" s="274">
        <f>IF(N9=" "," ",(I9/H9*550*0.0301+0.28)/550*H9)</f>
        <v>2.2874090909090912</v>
      </c>
      <c r="S9" s="301">
        <f>IF(N9=" "," ",R9*0.85)</f>
        <v>1.9442977272727275</v>
      </c>
      <c r="T9" s="274">
        <f>IF(N9=" "," ",0.5)</f>
        <v>0.5</v>
      </c>
      <c r="U9" s="301">
        <f>IF(N9=" "," ",T9*0.71)</f>
        <v>0.35499999999999998</v>
      </c>
      <c r="V9" s="274">
        <f>V8/88*65</f>
        <v>0.3</v>
      </c>
      <c r="W9" s="274">
        <v>2.2999999999999998</v>
      </c>
      <c r="X9" s="658">
        <f>W9*55%</f>
        <v>1.2649999999999999</v>
      </c>
      <c r="Y9" s="380">
        <f>W9*0.65</f>
        <v>1.4949999999999999</v>
      </c>
      <c r="Z9" s="274">
        <f>Z8/88*60</f>
        <v>0.7384615384615385</v>
      </c>
      <c r="AA9" s="303">
        <v>0.1</v>
      </c>
      <c r="AB9" s="276">
        <f>AB8/88*61</f>
        <v>2.980681818181818</v>
      </c>
      <c r="AC9" s="311">
        <v>1.3</v>
      </c>
      <c r="AD9" s="610">
        <f>AC9*0.88</f>
        <v>1.1440000000000001</v>
      </c>
      <c r="AE9" s="275">
        <v>26</v>
      </c>
      <c r="AF9" s="275">
        <v>423</v>
      </c>
      <c r="AG9" s="275">
        <v>5</v>
      </c>
      <c r="AH9" s="612">
        <v>10</v>
      </c>
      <c r="AI9" s="612">
        <f>(H9-AH9)*AU9-I9*AV9-AE9*AW9-AF9-AG9</f>
        <v>53.629999999999995</v>
      </c>
      <c r="AJ9" s="321">
        <f>$H9-($AE9+$AF9+$AH9+$I9+$K9)</f>
        <v>110</v>
      </c>
      <c r="AK9" s="610">
        <f>15/58*H9/10</f>
        <v>16.81034482758621</v>
      </c>
      <c r="AL9" s="311">
        <f>$AL$23*AK9/$AK$23</f>
        <v>15.45467185761958</v>
      </c>
      <c r="AM9" s="311">
        <f>AK9-AL9</f>
        <v>1.3556729699666299</v>
      </c>
      <c r="AN9" s="321"/>
      <c r="AO9" s="321"/>
      <c r="AP9" s="321"/>
      <c r="AQ9" s="612">
        <f t="shared" si="1"/>
        <v>-35.315646853146831</v>
      </c>
      <c r="AR9" s="847">
        <f t="shared" ref="AR9:AR46" si="2">IF(H9="","",V9/1000*20140+Z9/1000*48600+1100/440*I9)</f>
        <v>204.43123076923078</v>
      </c>
      <c r="AS9" s="612">
        <f>AX9*K9+AY9*AT9-AF9-AG9</f>
        <v>56.979999999999961</v>
      </c>
      <c r="AT9" s="612">
        <f t="shared" ref="AT9:AT16" si="3">IF(H9=""," ",H9-I9-AE9-AH9-K9)</f>
        <v>533</v>
      </c>
      <c r="AU9" s="851">
        <v>0.86</v>
      </c>
      <c r="AV9" s="851">
        <v>0.81</v>
      </c>
      <c r="AW9" s="851">
        <v>0.62</v>
      </c>
      <c r="AX9" s="851">
        <v>0.33</v>
      </c>
      <c r="AY9" s="851">
        <v>0.9</v>
      </c>
      <c r="AZ9" s="659">
        <f>1.3*H9/1000</f>
        <v>0.84499999999999997</v>
      </c>
      <c r="BA9" s="612">
        <v>14</v>
      </c>
      <c r="BB9" s="612">
        <v>44</v>
      </c>
      <c r="BC9" s="381">
        <f t="shared" ref="BC9:BC72" si="4">IF(H9="","",0.73*M9+0.055*AE9+0.015*AF9-0.028*I9-0.041*K9)</f>
        <v>12.90654754</v>
      </c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</row>
    <row r="10" spans="1:143" s="384" customFormat="1" ht="12.5" customHeight="1">
      <c r="A10" s="897" t="str">
        <f>IF(E10=" ",D10&amp;" "&amp;F10,D10&amp;" "&amp;E10&amp;"% RP "&amp;F10)</f>
        <v>CCM, 61 % TM über 3 % XF auf 88 % TM 9% RP DLG 2014</v>
      </c>
      <c r="B10" s="643">
        <f>IF(D10=""," ",COUNTA($D$8:D10))</f>
        <v>3</v>
      </c>
      <c r="C10" s="375"/>
      <c r="D10" s="655" t="s">
        <v>1003</v>
      </c>
      <c r="E10" s="656">
        <f>IF(I10=0," ",ROUND(I10/10,0))</f>
        <v>9</v>
      </c>
      <c r="F10" s="376" t="s">
        <v>969</v>
      </c>
      <c r="G10" s="377"/>
      <c r="H10" s="378">
        <v>880</v>
      </c>
      <c r="I10" s="378">
        <v>88</v>
      </c>
      <c r="J10" s="378">
        <f>I10*0.81</f>
        <v>71.28</v>
      </c>
      <c r="K10" s="378">
        <f>K11/61*88</f>
        <v>34.622950819672127</v>
      </c>
      <c r="L10" s="381">
        <f>I10*0.0205*AV10+0.0398*AW10*AE10+0.0173*AF10+0.016*$AG10+0.0147*AI10</f>
        <v>13.243585723076921</v>
      </c>
      <c r="M10" s="611">
        <f>$I10*0.021503+0.032497*$AE10+0.016309*$AF10+0.014701*$AJ10-0.021071*$K10</f>
        <v>13.645178572509456</v>
      </c>
      <c r="N10" s="274">
        <f>IF(I10=0," ",(I10/H10*550*0.0171+0.51)/550*H10)</f>
        <v>2.3208000000000002</v>
      </c>
      <c r="O10" s="301">
        <f>IF(N10=" "," ",N10*0.67)</f>
        <v>1.5549360000000003</v>
      </c>
      <c r="P10" s="274">
        <f>IF(N10=" "," ",(I10/H10*550*0.0215+1.04)/550*H10)</f>
        <v>3.5560000000000005</v>
      </c>
      <c r="Q10" s="380">
        <f>IF(N10=" "," ",P10*(0.88*1.3+1.4*0.85)/2.7)</f>
        <v>3.0739644444444449</v>
      </c>
      <c r="R10" s="274">
        <f>IF(N10=" "," ",(I10/H10*550*0.0301+0.28)/550*H10)</f>
        <v>3.0968</v>
      </c>
      <c r="S10" s="301">
        <f>IF(N10=" "," ",R10*0.72)</f>
        <v>2.2296960000000001</v>
      </c>
      <c r="T10" s="379">
        <f>T11/610*880</f>
        <v>0.57704918032786889</v>
      </c>
      <c r="U10" s="301">
        <f>IF(N10=" "," ",T10*0.65)</f>
        <v>0.37508196721311482</v>
      </c>
      <c r="V10" s="657">
        <f>0.2/61*88</f>
        <v>0.28852459016393445</v>
      </c>
      <c r="W10" s="657">
        <f>W11/61*88</f>
        <v>2.8852459016393444</v>
      </c>
      <c r="X10" s="658">
        <f>W10*55%</f>
        <v>1.5868852459016396</v>
      </c>
      <c r="Y10" s="380">
        <f>W10*0.65</f>
        <v>1.875409836065574</v>
      </c>
      <c r="Z10" s="657">
        <f>0.8/61*88</f>
        <v>1.1540983606557378</v>
      </c>
      <c r="AA10" s="659">
        <f>AA11/61*88</f>
        <v>0.14426229508196722</v>
      </c>
      <c r="AB10" s="382">
        <v>4.3</v>
      </c>
      <c r="AC10" s="610">
        <f>AC11/610*880</f>
        <v>1.7311475409836066</v>
      </c>
      <c r="AD10" s="610">
        <f>AC10*0.84</f>
        <v>1.4541639344262294</v>
      </c>
      <c r="AE10" s="612">
        <f>26/$H$9*880</f>
        <v>35.200000000000003</v>
      </c>
      <c r="AF10" s="612">
        <f>423/$H$9*880</f>
        <v>572.67692307692312</v>
      </c>
      <c r="AG10" s="612">
        <f>5/$H$9*880</f>
        <v>6.7692307692307701</v>
      </c>
      <c r="AH10" s="612">
        <f>10/$H$9*880</f>
        <v>13.53846153846154</v>
      </c>
      <c r="AI10" s="612">
        <f>(H10-AH10)*AU10-I10*AV10-AE10*AW10-AF10-AG10</f>
        <v>67.638153846153784</v>
      </c>
      <c r="AJ10" s="612">
        <f>$H10-($AE10+$AF10+$AH10+$I10+$K10)</f>
        <v>135.96166456494313</v>
      </c>
      <c r="AK10" s="610">
        <f>15/58*H10/10</f>
        <v>22.758620689655174</v>
      </c>
      <c r="AL10" s="311">
        <f>$AL$23*AK10/$AK$23</f>
        <v>20.923248053392662</v>
      </c>
      <c r="AM10" s="311">
        <f>AK10-AL10</f>
        <v>1.8353726362625125</v>
      </c>
      <c r="AN10" s="612"/>
      <c r="AO10" s="612"/>
      <c r="AP10" s="612"/>
      <c r="AQ10" s="612">
        <f>IF(H10="","",50*V10+83*Z10+26*AB10+44*AA10-59*W10-13*P10-28*AZ10)</f>
        <v>-20.125573770491812</v>
      </c>
      <c r="AR10" s="847">
        <f>IF(H10="","",V10/1000*20140+Z10/1000*48600+1100/440*I10)</f>
        <v>281.90006557377052</v>
      </c>
      <c r="AS10" s="612">
        <f>AX10*K10+AY10*AT10-AF10-AG10</f>
        <v>69.754148802017596</v>
      </c>
      <c r="AT10" s="612">
        <f t="shared" si="3"/>
        <v>708.63858764186625</v>
      </c>
      <c r="AU10" s="851">
        <v>0.85</v>
      </c>
      <c r="AV10" s="851">
        <v>0.78</v>
      </c>
      <c r="AW10" s="851">
        <v>0.59</v>
      </c>
      <c r="AX10" s="851">
        <v>0.33</v>
      </c>
      <c r="AY10" s="851">
        <v>0.9</v>
      </c>
      <c r="AZ10" s="659">
        <f>1.3*880/1000</f>
        <v>1.1439999999999999</v>
      </c>
      <c r="BA10" s="612">
        <f>BA11/$H$9*$H$8</f>
        <v>27.07692307692308</v>
      </c>
      <c r="BB10" s="612">
        <f>BB11/$H$9*$H$8</f>
        <v>73.107692307692304</v>
      </c>
      <c r="BC10" s="381">
        <f t="shared" si="4"/>
        <v>16.603593220479194</v>
      </c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3"/>
      <c r="DX10" s="383"/>
      <c r="DY10" s="383"/>
      <c r="DZ10" s="383"/>
      <c r="EA10" s="383"/>
      <c r="EB10" s="383"/>
      <c r="EC10" s="383"/>
      <c r="ED10" s="383"/>
      <c r="EE10" s="383"/>
      <c r="EF10" s="383"/>
      <c r="EG10" s="383"/>
      <c r="EH10" s="383"/>
      <c r="EI10" s="383"/>
      <c r="EJ10" s="383"/>
      <c r="EK10" s="383"/>
      <c r="EL10" s="383"/>
      <c r="EM10" s="383"/>
    </row>
    <row r="11" spans="1:143" s="3" customFormat="1" ht="12.5" customHeight="1">
      <c r="A11" s="897" t="str">
        <f>IF(E11=" ",D11&amp;" "&amp;F11,D11&amp;" "&amp;E11&amp;"% RP "&amp;F11)</f>
        <v>CCM, 61 % TM über 3 % XF in TM 6% RP DLG 2014</v>
      </c>
      <c r="B11" s="298">
        <f>IF(D11=""," ",COUNTA($D$8:D11))</f>
        <v>4</v>
      </c>
      <c r="C11" s="327"/>
      <c r="D11" s="479" t="s">
        <v>1002</v>
      </c>
      <c r="E11" s="617">
        <f>IF(I11=0," ",ROUND(I11/10,0))</f>
        <v>6</v>
      </c>
      <c r="F11" s="299" t="s">
        <v>969</v>
      </c>
      <c r="G11" s="300"/>
      <c r="H11" s="275">
        <v>610</v>
      </c>
      <c r="I11" s="275">
        <v>61</v>
      </c>
      <c r="J11" s="378">
        <f>I11*0.78</f>
        <v>47.58</v>
      </c>
      <c r="K11" s="275">
        <v>24</v>
      </c>
      <c r="L11" s="381">
        <f>I11*0.0205*AV11+0.0398*AW11*AE11+0.0173*AF11+0.016*$AG11+0.0147*AI11</f>
        <v>9.1966980000000014</v>
      </c>
      <c r="M11" s="322">
        <f>$I11*0.021503+0.032497*$AE11+0.016309*$AF11+0.014701*$AJ11-0.021071*$K11</f>
        <v>9.4780660000000001</v>
      </c>
      <c r="N11" s="274">
        <f>IF(I11=0," ",(I11/H11*550*0.0171+0.51)/550*H11)</f>
        <v>1.6087363636363636</v>
      </c>
      <c r="O11" s="301">
        <f>IF(N11=" "," ",N11*0.67)</f>
        <v>1.0778533636363636</v>
      </c>
      <c r="P11" s="274">
        <f>IF(N11=" "," ",(I11/H11*550*0.0215+1.04)/550*H11)</f>
        <v>2.4649545454545456</v>
      </c>
      <c r="Q11" s="380">
        <f>IF(N11=" "," ",P11*(0.84*2+2.2*0.76)/4.2)</f>
        <v>1.9672684848484852</v>
      </c>
      <c r="R11" s="274">
        <f>IF(N11=" "," ",(I11/H11*550*0.0301+0.28)/550*H11)</f>
        <v>2.1466454545454545</v>
      </c>
      <c r="S11" s="301">
        <f>IF(N11=" "," ",R11*0.72)</f>
        <v>1.5455847272727272</v>
      </c>
      <c r="T11" s="274">
        <v>0.4</v>
      </c>
      <c r="U11" s="301">
        <f>IF(N11=" "," ",T11*0.65)</f>
        <v>0.26</v>
      </c>
      <c r="V11" s="274">
        <v>0.2</v>
      </c>
      <c r="W11" s="274">
        <v>2</v>
      </c>
      <c r="X11" s="658">
        <f>W11*55%</f>
        <v>1.1000000000000001</v>
      </c>
      <c r="Y11" s="380">
        <f>W11*0.65</f>
        <v>1.3</v>
      </c>
      <c r="Z11" s="274">
        <f>Z10/88*60</f>
        <v>0.78688524590163944</v>
      </c>
      <c r="AA11" s="303">
        <v>0.1</v>
      </c>
      <c r="AB11" s="276">
        <f>AB10/88*61</f>
        <v>2.980681818181818</v>
      </c>
      <c r="AC11" s="311">
        <v>1.2</v>
      </c>
      <c r="AD11" s="610">
        <f>AC11*0.84</f>
        <v>1.008</v>
      </c>
      <c r="AE11" s="275">
        <v>26</v>
      </c>
      <c r="AF11" s="275">
        <v>397</v>
      </c>
      <c r="AG11" s="275">
        <v>5</v>
      </c>
      <c r="AH11" s="612">
        <v>10</v>
      </c>
      <c r="AI11" s="612">
        <f>(H11-AH11)*AU11-I11*AV11-AE11*AW11-AF11-AG11</f>
        <v>45.080000000000041</v>
      </c>
      <c r="AJ11" s="321">
        <f>$H11-($AE11+$AF11+$AH11+$I11+$K11)</f>
        <v>92</v>
      </c>
      <c r="AK11" s="610">
        <f>15/58*H11/10</f>
        <v>15.775862068965518</v>
      </c>
      <c r="AL11" s="311">
        <f>$AL$23*AK11/$AK$23</f>
        <v>14.503615127919913</v>
      </c>
      <c r="AM11" s="311">
        <f>AK11-AL11</f>
        <v>1.272246941045605</v>
      </c>
      <c r="AN11" s="321"/>
      <c r="AO11" s="321"/>
      <c r="AP11" s="321"/>
      <c r="AQ11" s="612">
        <f>IF(H11="","",50*V11+83*Z11+26*AB11+44*AA11-59*W11-13*P11-28*AZ11)</f>
        <v>-15.039206408345734</v>
      </c>
      <c r="AR11" s="847">
        <f>IF(H11="","",V11/1000*20140+Z11/1000*48600+1100/440*I11)</f>
        <v>194.77062295081967</v>
      </c>
      <c r="AS11" s="612">
        <f>AX11*K11+AY11*AT11-AF11-AG11</f>
        <v>46.020000000000039</v>
      </c>
      <c r="AT11" s="612">
        <f t="shared" si="3"/>
        <v>489</v>
      </c>
      <c r="AU11" s="851">
        <v>0.85</v>
      </c>
      <c r="AV11" s="851">
        <v>0.78</v>
      </c>
      <c r="AW11" s="851">
        <v>0.59</v>
      </c>
      <c r="AX11" s="851">
        <v>0.33</v>
      </c>
      <c r="AY11" s="851">
        <v>0.9</v>
      </c>
      <c r="AZ11" s="659">
        <f>1.3*H11/1000</f>
        <v>0.79300000000000004</v>
      </c>
      <c r="BA11" s="612">
        <v>20</v>
      </c>
      <c r="BB11" s="612">
        <v>54</v>
      </c>
      <c r="BC11" s="381">
        <f t="shared" si="4"/>
        <v>11.611988179999999</v>
      </c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</row>
    <row r="12" spans="1:143" s="3" customFormat="1" ht="12.5" customHeight="1">
      <c r="A12" s="897" t="str">
        <f>IF(E12=" ",D12&amp;" "&amp;F12,D12&amp;" "&amp;E12&amp;"% RP "&amp;F12)</f>
        <v>eigenes CCM 5% RP Ø 2015</v>
      </c>
      <c r="B12" s="298">
        <f>IF(D12=""," ",COUNTA($D$8:D12))</f>
        <v>5</v>
      </c>
      <c r="C12" s="327"/>
      <c r="D12" s="480" t="s">
        <v>287</v>
      </c>
      <c r="E12" s="619">
        <f t="shared" si="0"/>
        <v>5</v>
      </c>
      <c r="F12" s="306" t="str">
        <f>IF(I12=90/1000*H12,"Ø 2015","")</f>
        <v>Ø 2015</v>
      </c>
      <c r="G12" s="305"/>
      <c r="H12" s="91">
        <v>604</v>
      </c>
      <c r="I12" s="91">
        <f>90/1000*H12</f>
        <v>54.36</v>
      </c>
      <c r="J12" s="306">
        <f>IF(I12=0," ",I12*0.81)</f>
        <v>44.031600000000005</v>
      </c>
      <c r="K12" s="91">
        <f>31/1000*H12</f>
        <v>18.724</v>
      </c>
      <c r="L12" s="988">
        <f>IF($I12=""," ",I12*0.0205*AV12+0.0398*AW12*AE12+0.0173*AF12+0.016*$AG12+0.0147*AI12)</f>
        <v>9.3417646879999996</v>
      </c>
      <c r="M12" s="988">
        <f>IF(I12=""," ",$I12*0.021503+0.032497*$AE12+0.016309*$AF12+0.014701*$AJ12-0.021071*$K12)</f>
        <v>9.6378741999999988</v>
      </c>
      <c r="N12" s="307">
        <f>IF(I12=0," ",(I12/H12*550*0.0171+0.51)/550*H12)</f>
        <v>1.4896287272727273</v>
      </c>
      <c r="O12" s="308">
        <f>IF(N12=" "," ",N12*0.7)</f>
        <v>1.042740109090909</v>
      </c>
      <c r="P12" s="307">
        <f>IF(N12=" "," ",(I12/H12*550*0.0215+1.04)/550*H12)</f>
        <v>2.3108490909090906</v>
      </c>
      <c r="Q12" s="308">
        <f>IF(N12=" "," ",P12*(0.88*1.3+1.4*0.85)/2.7)</f>
        <v>1.9976006585858581</v>
      </c>
      <c r="R12" s="307">
        <f>IF(N12=" "," ",(I12/H12*550*0.0301+0.28)/550*H12)</f>
        <v>1.9437269090909088</v>
      </c>
      <c r="S12" s="308">
        <f>IF(N12=" "," ",R12*0.85)</f>
        <v>1.6521678727272724</v>
      </c>
      <c r="T12" s="307">
        <f>IF(N12=" "," ",0.5*H12/H9)</f>
        <v>0.4646153846153846</v>
      </c>
      <c r="U12" s="308">
        <f>IF(N12=" "," ",T12*0.71)</f>
        <v>0.32987692307692307</v>
      </c>
      <c r="V12" s="307">
        <f>IF($I12=0," ",V9*$H12/$H9)</f>
        <v>0.27876923076923077</v>
      </c>
      <c r="W12" s="307">
        <f t="shared" ref="W12:AB12" si="5">IF($I12=0," ",W9*$H12/$H9)</f>
        <v>2.137230769230769</v>
      </c>
      <c r="X12" s="308">
        <f t="shared" si="5"/>
        <v>1.1754769230769231</v>
      </c>
      <c r="Y12" s="307">
        <f>IF($I12=0," ",Y9*$H12/$H9)</f>
        <v>1.3891999999999998</v>
      </c>
      <c r="Z12" s="307">
        <f t="shared" si="5"/>
        <v>0.68620118343195269</v>
      </c>
      <c r="AA12" s="309">
        <f t="shared" si="5"/>
        <v>9.2923076923076928E-2</v>
      </c>
      <c r="AB12" s="310">
        <f t="shared" si="5"/>
        <v>2.7697412587412584</v>
      </c>
      <c r="AC12" s="307">
        <f>IF($I12=0," ",AC9/H9*H12)</f>
        <v>1.208</v>
      </c>
      <c r="AD12" s="307">
        <f>IF($N12=" "," ",AC12*0.88)</f>
        <v>1.06304</v>
      </c>
      <c r="AE12" s="92">
        <f>46/1000*H12</f>
        <v>27.783999999999999</v>
      </c>
      <c r="AF12" s="92">
        <f>717/1000*H12</f>
        <v>433.06799999999998</v>
      </c>
      <c r="AG12" s="92">
        <f>AG9/650*H12</f>
        <v>4.6461538461538465</v>
      </c>
      <c r="AH12" s="92">
        <v>9</v>
      </c>
      <c r="AI12" s="306">
        <f>IF($I12=""," ",(H12-AH12)*AU12-I12*AV12-AE12*AW12-AF12-AG12)</f>
        <v>12.728166153846107</v>
      </c>
      <c r="AJ12" s="306">
        <f>IF($I12=""," ",$H12-($AE12+$AF12+$AH12+$I12+$K12))</f>
        <v>61.063999999999965</v>
      </c>
      <c r="AK12" s="307">
        <f t="shared" ref="AK12:AP12" si="6">IF($I12=0," ",AK9*$H12/$H9)</f>
        <v>15.620689655172416</v>
      </c>
      <c r="AL12" s="307">
        <f t="shared" si="6"/>
        <v>14.360956618464963</v>
      </c>
      <c r="AM12" s="307">
        <f t="shared" si="6"/>
        <v>1.2597330367074531</v>
      </c>
      <c r="AN12" s="306">
        <f t="shared" si="6"/>
        <v>0</v>
      </c>
      <c r="AO12" s="306">
        <f t="shared" si="6"/>
        <v>0</v>
      </c>
      <c r="AP12" s="306">
        <f t="shared" si="6"/>
        <v>0</v>
      </c>
      <c r="AQ12" s="306">
        <f t="shared" si="1"/>
        <v>-31.128205691231834</v>
      </c>
      <c r="AR12" s="306">
        <f t="shared" si="2"/>
        <v>174.86378982248522</v>
      </c>
      <c r="AS12" s="306">
        <f>IF($I12=0," ",AX12*K12+AY12*AT12-AF12-AG12)</f>
        <v>13.183566153846161</v>
      </c>
      <c r="AT12" s="92">
        <f t="shared" si="3"/>
        <v>494.13200000000001</v>
      </c>
      <c r="AU12" s="853">
        <f>IF($I12=0," ",AU9)</f>
        <v>0.86</v>
      </c>
      <c r="AV12" s="853">
        <f>IF($I12=0," ",AV9)</f>
        <v>0.81</v>
      </c>
      <c r="AW12" s="853">
        <f>IF($I12=0," ",AW9)</f>
        <v>0.62</v>
      </c>
      <c r="AX12" s="853">
        <v>0.33</v>
      </c>
      <c r="AY12" s="853">
        <v>0.9</v>
      </c>
      <c r="AZ12" s="309">
        <f>IF($I12=0," ",AZ9*$H12/$H9)</f>
        <v>0.78520000000000001</v>
      </c>
      <c r="BA12" s="92">
        <f>IF($I12=0," ",37/1000*H12)</f>
        <v>22.347999999999999</v>
      </c>
      <c r="BB12" s="92">
        <f>IF($I12=0," ",102/1000*H12)</f>
        <v>61.607999999999997</v>
      </c>
      <c r="BC12" s="988">
        <f t="shared" si="4"/>
        <v>12.770024165999999</v>
      </c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</row>
    <row r="13" spans="1:143" s="3" customFormat="1" ht="12.5" customHeight="1">
      <c r="A13" s="897" t="str">
        <f t="shared" ref="A13:A49" si="7">IF(E13=" ",D13&amp;" "&amp;F13,D13&amp;" "&amp;E13&amp;"% RP "&amp;F13)</f>
        <v xml:space="preserve">Gerste  14% RP </v>
      </c>
      <c r="B13" s="298">
        <f>IF(D13=""," ",COUNTA($D$8:D13))</f>
        <v>6</v>
      </c>
      <c r="C13" s="327"/>
      <c r="D13" s="479" t="s">
        <v>40</v>
      </c>
      <c r="E13" s="617">
        <f t="shared" si="0"/>
        <v>14</v>
      </c>
      <c r="F13" s="299"/>
      <c r="G13" s="300">
        <v>1</v>
      </c>
      <c r="H13" s="275">
        <v>880</v>
      </c>
      <c r="I13" s="275">
        <v>138.4</v>
      </c>
      <c r="J13" s="275">
        <f>I13*0.73</f>
        <v>101.032</v>
      </c>
      <c r="K13" s="275">
        <v>49.4</v>
      </c>
      <c r="L13" s="381">
        <f>I13*0.0205*AV13+0.0398*AW13*AE13+0.0173*AF13+0.016*$AG13+0.0147*AI13</f>
        <v>12.668151399999999</v>
      </c>
      <c r="M13" s="322">
        <f>$I13*0.021503+0.032497*$AE13+0.016309*$AF13+0.014701*$AJ13-0.021071*$K13</f>
        <v>12.976837000000002</v>
      </c>
      <c r="N13" s="311">
        <f>IF(I13=0," ",I13*0.0229+1.38)</f>
        <v>4.5493600000000001</v>
      </c>
      <c r="O13" s="302">
        <f t="shared" ref="O13:O24" si="8">IF(N13=" "," ",N13*0.73)</f>
        <v>3.3210327999999998</v>
      </c>
      <c r="P13" s="311">
        <f>IF(N13=" "," ",I13*0.0276+1.07)</f>
        <v>4.8898400000000004</v>
      </c>
      <c r="Q13" s="302">
        <f t="shared" ref="Q13:Q22" si="9">IF(N13=" "," ",P13*(1.6*0.82+2.2*0.85)/3.8)</f>
        <v>4.0945976000000011</v>
      </c>
      <c r="R13" s="311">
        <f>IF(N13=" "," ",I13*0.0264+0.72)</f>
        <v>4.3737599999999999</v>
      </c>
      <c r="S13" s="302">
        <f t="shared" ref="S13:S24" si="10">IF(N13=" "," ",R13*0.76)</f>
        <v>3.3240575999999997</v>
      </c>
      <c r="T13" s="311">
        <f>IF(N13=" "," ",I13*0.0099+0.28)</f>
        <v>1.6501600000000003</v>
      </c>
      <c r="U13" s="302">
        <f t="shared" ref="U13:U24" si="11">IF(N13=" "," ",T13*0.76)</f>
        <v>1.2541216000000002</v>
      </c>
      <c r="V13" s="274">
        <f>0.49*H13/1000</f>
        <v>0.43119999999999997</v>
      </c>
      <c r="W13" s="274">
        <v>3.5</v>
      </c>
      <c r="X13" s="301">
        <f>0.45*W13</f>
        <v>1.575</v>
      </c>
      <c r="Y13" s="301">
        <f>W13*0.65</f>
        <v>2.2749999999999999</v>
      </c>
      <c r="Z13" s="274">
        <v>1.1000000000000001</v>
      </c>
      <c r="AA13" s="303">
        <v>0.15</v>
      </c>
      <c r="AB13" s="276">
        <v>4.4000000000000004</v>
      </c>
      <c r="AC13" s="311">
        <f>IF($I13=""," ",$I13*0.0133+0.32)</f>
        <v>2.16072</v>
      </c>
      <c r="AD13" s="311">
        <f>AC13*0.82</f>
        <v>1.7717903999999998</v>
      </c>
      <c r="AE13" s="321">
        <v>23.2</v>
      </c>
      <c r="AF13" s="321">
        <v>499.2</v>
      </c>
      <c r="AG13" s="321">
        <v>22.4</v>
      </c>
      <c r="AH13" s="275">
        <v>23.8</v>
      </c>
      <c r="AI13" s="612">
        <f>(H13-AH13)*AU13-I13*AV13-AE13*AW13-AF13-AG13</f>
        <v>75.717999999999876</v>
      </c>
      <c r="AJ13" s="321">
        <f>$H13-($AE13+$AF13+$AH13+$I13+$K13)</f>
        <v>146.00000000000011</v>
      </c>
      <c r="AK13" s="610">
        <f>AL13+AM13</f>
        <v>14.383999999999999</v>
      </c>
      <c r="AL13" s="610">
        <f>57*AE13/100</f>
        <v>13.223999999999998</v>
      </c>
      <c r="AM13" s="610">
        <f>5*AE13/100</f>
        <v>1.1599999999999999</v>
      </c>
      <c r="AN13" s="321"/>
      <c r="AO13" s="321"/>
      <c r="AP13" s="321"/>
      <c r="AQ13" s="612">
        <f t="shared" si="1"/>
        <v>-55.919919999999991</v>
      </c>
      <c r="AR13" s="847">
        <f t="shared" si="2"/>
        <v>408.14436799999999</v>
      </c>
      <c r="AS13" s="612">
        <f>AX13*K13+AY13*AT13-AF13-AG13</f>
        <v>66.984000000000066</v>
      </c>
      <c r="AT13" s="612">
        <f>IF(H13=""," ",H13-I13-AE13-AH13-K13)</f>
        <v>645.20000000000005</v>
      </c>
      <c r="AU13" s="855">
        <v>0.83</v>
      </c>
      <c r="AV13" s="855">
        <v>0.73</v>
      </c>
      <c r="AW13" s="855">
        <v>0.53</v>
      </c>
      <c r="AX13" s="855">
        <v>0.16</v>
      </c>
      <c r="AY13" s="855">
        <v>0.9</v>
      </c>
      <c r="AZ13" s="303">
        <f>0.8*H13/1000</f>
        <v>0.70399999999999996</v>
      </c>
      <c r="BA13" s="612">
        <f>$BA$17/$H$17*H13*K13/$K$17</f>
        <v>42.680842911877392</v>
      </c>
      <c r="BB13" s="612">
        <f>$BB$17/$H$17*H13*K13/$K$17</f>
        <v>327.91379310344831</v>
      </c>
      <c r="BC13" s="381">
        <f t="shared" si="4"/>
        <v>12.336491010000001</v>
      </c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</row>
    <row r="14" spans="1:143" s="3" customFormat="1" ht="12.5" customHeight="1">
      <c r="A14" s="897" t="str">
        <f t="shared" si="7"/>
        <v xml:space="preserve">Gerste  13% RP </v>
      </c>
      <c r="B14" s="298">
        <f>IF(D14=""," ",COUNTA($D$8:D14))</f>
        <v>7</v>
      </c>
      <c r="C14" s="327"/>
      <c r="D14" s="479" t="s">
        <v>40</v>
      </c>
      <c r="E14" s="617">
        <f t="shared" si="0"/>
        <v>13</v>
      </c>
      <c r="F14" s="299"/>
      <c r="G14" s="300" t="s">
        <v>543</v>
      </c>
      <c r="H14" s="275">
        <v>880</v>
      </c>
      <c r="I14" s="275">
        <v>128</v>
      </c>
      <c r="J14" s="275">
        <f>I14*0.73</f>
        <v>93.44</v>
      </c>
      <c r="K14" s="275">
        <v>52.2</v>
      </c>
      <c r="L14" s="381">
        <f>I14*0.0205*AV14+0.0398*AW14*AE14+0.0173*AF14+0.016*$AG14+0.0147*AI14</f>
        <v>12.638889899999999</v>
      </c>
      <c r="M14" s="322">
        <f>$I14*0.021503+0.032497*$AE14+0.016309*$AF14+0.014701*$AJ14-0.021071*$K14</f>
        <v>12.822090200000002</v>
      </c>
      <c r="N14" s="311">
        <f>IF(I14=0," ",I14*0.0229+1.38)</f>
        <v>4.3111999999999995</v>
      </c>
      <c r="O14" s="302">
        <f t="shared" si="8"/>
        <v>3.1471759999999995</v>
      </c>
      <c r="P14" s="311">
        <f>IF(N14=" "," ",I14*0.0276+1.07)</f>
        <v>4.6028000000000002</v>
      </c>
      <c r="Q14" s="302">
        <f t="shared" si="9"/>
        <v>3.8542393684210534</v>
      </c>
      <c r="R14" s="311">
        <f>IF(N14=" "," ",I14*0.0264+0.72)</f>
        <v>4.0991999999999997</v>
      </c>
      <c r="S14" s="302">
        <f t="shared" si="10"/>
        <v>3.1153919999999999</v>
      </c>
      <c r="T14" s="311">
        <f>IF(N14=" "," ",I14*0.0099+0.28)</f>
        <v>1.5472000000000001</v>
      </c>
      <c r="U14" s="302">
        <f t="shared" si="11"/>
        <v>1.175872</v>
      </c>
      <c r="V14" s="274">
        <f>0.49*H14/1000</f>
        <v>0.43119999999999997</v>
      </c>
      <c r="W14" s="274">
        <v>3.5</v>
      </c>
      <c r="X14" s="301">
        <f>0.45*W14</f>
        <v>1.575</v>
      </c>
      <c r="Y14" s="301">
        <f>W14*0.65</f>
        <v>2.2749999999999999</v>
      </c>
      <c r="Z14" s="274">
        <v>1.1000000000000001</v>
      </c>
      <c r="AA14" s="303">
        <v>0.15</v>
      </c>
      <c r="AB14" s="276">
        <v>4.4000000000000004</v>
      </c>
      <c r="AC14" s="311">
        <f>IF($I14=""," ",$I14*0.0133+0.32)</f>
        <v>2.0223999999999998</v>
      </c>
      <c r="AD14" s="311">
        <f>AC14*0.82</f>
        <v>1.6583679999999996</v>
      </c>
      <c r="AE14" s="321">
        <v>23.9</v>
      </c>
      <c r="AF14" s="321">
        <v>501.5</v>
      </c>
      <c r="AG14" s="321">
        <v>22</v>
      </c>
      <c r="AH14" s="275">
        <v>23.8</v>
      </c>
      <c r="AI14" s="612">
        <f>(H14-AH14)*AU14-I14*AV14-AE14*AW14-AF14-AG14</f>
        <v>81.038999999999874</v>
      </c>
      <c r="AJ14" s="321">
        <f>$H14-($AE14+$AF14+$AH14+$I14+$K14)</f>
        <v>150.60000000000002</v>
      </c>
      <c r="AK14" s="610">
        <f>AL14+AM14</f>
        <v>14.818</v>
      </c>
      <c r="AL14" s="610">
        <f>57*AE14/100</f>
        <v>13.622999999999999</v>
      </c>
      <c r="AM14" s="610">
        <f>5*AE14/100</f>
        <v>1.1950000000000001</v>
      </c>
      <c r="AN14" s="321"/>
      <c r="AO14" s="321"/>
      <c r="AP14" s="321"/>
      <c r="AQ14" s="612">
        <f t="shared" si="1"/>
        <v>-52.188399999999987</v>
      </c>
      <c r="AR14" s="847">
        <f t="shared" si="2"/>
        <v>382.14436799999999</v>
      </c>
      <c r="AS14" s="612">
        <f>AX14*K14+AY14*AT14-AF14-AG14</f>
        <v>71.741999999999962</v>
      </c>
      <c r="AT14" s="612">
        <f t="shared" si="3"/>
        <v>652.1</v>
      </c>
      <c r="AU14" s="855">
        <v>0.83</v>
      </c>
      <c r="AV14" s="855">
        <v>0.73</v>
      </c>
      <c r="AW14" s="855">
        <v>0.53</v>
      </c>
      <c r="AX14" s="855">
        <v>0.16</v>
      </c>
      <c r="AY14" s="855">
        <v>0.9</v>
      </c>
      <c r="AZ14" s="303">
        <f>0.8*H14/1000</f>
        <v>0.70399999999999996</v>
      </c>
      <c r="BA14" s="612">
        <f>$BA$17/$H$17*H14*K14/$K$17</f>
        <v>45.1</v>
      </c>
      <c r="BB14" s="612">
        <f>$BB$17/$H$17*H14*K14/$K$17</f>
        <v>346.50000000000006</v>
      </c>
      <c r="BC14" s="381">
        <f t="shared" si="4"/>
        <v>12.472925846000003</v>
      </c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</row>
    <row r="15" spans="1:143" s="3" customFormat="1" ht="12.5" customHeight="1">
      <c r="A15" s="897" t="str">
        <f t="shared" si="7"/>
        <v xml:space="preserve">Gerste  12% RP </v>
      </c>
      <c r="B15" s="298">
        <f>IF(D15=""," ",COUNTA($D$8:D15))</f>
        <v>8</v>
      </c>
      <c r="C15" s="327"/>
      <c r="D15" s="479" t="s">
        <v>40</v>
      </c>
      <c r="E15" s="617">
        <f t="shared" si="0"/>
        <v>12</v>
      </c>
      <c r="F15" s="299"/>
      <c r="G15" s="300" t="s">
        <v>544</v>
      </c>
      <c r="H15" s="275">
        <v>880</v>
      </c>
      <c r="I15" s="275">
        <v>119.3</v>
      </c>
      <c r="J15" s="275">
        <f>I15*0.73</f>
        <v>87.088999999999999</v>
      </c>
      <c r="K15" s="275">
        <v>53.3</v>
      </c>
      <c r="L15" s="381">
        <f>I15*0.0205*AV15+0.0398*AW15*AE15+0.0173*AF15+0.016*$AG15+0.0147*AI15</f>
        <v>12.621783799999999</v>
      </c>
      <c r="M15" s="322">
        <f>$I15*0.021503+0.032497*$AE15+0.016309*$AF15+0.014701*$AJ15-0.021071*$K15</f>
        <v>12.734326400000002</v>
      </c>
      <c r="N15" s="311">
        <f>IF(I15=0," ",I15*0.0229+1.38)</f>
        <v>4.1119699999999995</v>
      </c>
      <c r="O15" s="302">
        <f t="shared" si="8"/>
        <v>3.0017380999999994</v>
      </c>
      <c r="P15" s="311">
        <f>IF(N15=" "," ",I15*0.0276+1.07)</f>
        <v>4.3626800000000001</v>
      </c>
      <c r="Q15" s="302">
        <f t="shared" si="9"/>
        <v>3.6531704631578954</v>
      </c>
      <c r="R15" s="311">
        <f>IF(N15=" "," ",I15*0.0264+0.72)</f>
        <v>3.8695199999999996</v>
      </c>
      <c r="S15" s="302">
        <f t="shared" si="10"/>
        <v>2.9408351999999995</v>
      </c>
      <c r="T15" s="311">
        <f>IF(N15=" "," ",I15*0.0099+0.28)</f>
        <v>1.4610700000000001</v>
      </c>
      <c r="U15" s="302">
        <f t="shared" si="11"/>
        <v>1.1104132</v>
      </c>
      <c r="V15" s="274">
        <f>0.49*H15/1000</f>
        <v>0.43119999999999997</v>
      </c>
      <c r="W15" s="274">
        <v>3.5</v>
      </c>
      <c r="X15" s="301">
        <f>0.45*W15</f>
        <v>1.575</v>
      </c>
      <c r="Y15" s="301">
        <f>W15*0.65</f>
        <v>2.2749999999999999</v>
      </c>
      <c r="Z15" s="274">
        <v>1.1000000000000001</v>
      </c>
      <c r="AA15" s="303">
        <v>0.15</v>
      </c>
      <c r="AB15" s="276">
        <v>4.4000000000000004</v>
      </c>
      <c r="AC15" s="311">
        <f>IF($I15=""," ",$I15*0.0133+0.32)</f>
        <v>1.90669</v>
      </c>
      <c r="AD15" s="311">
        <f>AC15*0.82</f>
        <v>1.5634857999999998</v>
      </c>
      <c r="AE15" s="321">
        <v>23.8</v>
      </c>
      <c r="AF15" s="321">
        <v>509.3</v>
      </c>
      <c r="AG15" s="321">
        <v>22.6</v>
      </c>
      <c r="AH15" s="275">
        <v>23.8</v>
      </c>
      <c r="AI15" s="612">
        <f>(H15-AH15)*AU15-I15*AV15-AE15*AW15-AF15-AG15</f>
        <v>79.042999999999978</v>
      </c>
      <c r="AJ15" s="321">
        <f>$H15-($AE15+$AF15+$AH15+$I15+$K15)</f>
        <v>150.50000000000011</v>
      </c>
      <c r="AK15" s="610">
        <f>AL15+AM15</f>
        <v>14.756</v>
      </c>
      <c r="AL15" s="610">
        <f>57*AE15/100</f>
        <v>13.566000000000001</v>
      </c>
      <c r="AM15" s="610">
        <f>5*AE15/100</f>
        <v>1.19</v>
      </c>
      <c r="AN15" s="321"/>
      <c r="AO15" s="321"/>
      <c r="AP15" s="321"/>
      <c r="AQ15" s="612">
        <f t="shared" si="1"/>
        <v>-49.066839999999985</v>
      </c>
      <c r="AR15" s="847">
        <f t="shared" si="2"/>
        <v>360.39436799999999</v>
      </c>
      <c r="AS15" s="612">
        <f>AX15*K15+AY15*AT15-AF15-AG15</f>
        <v>70.448000000000178</v>
      </c>
      <c r="AT15" s="612">
        <f t="shared" si="3"/>
        <v>659.80000000000018</v>
      </c>
      <c r="AU15" s="855">
        <v>0.83</v>
      </c>
      <c r="AV15" s="855">
        <v>0.73</v>
      </c>
      <c r="AW15" s="855">
        <v>0.53</v>
      </c>
      <c r="AX15" s="855">
        <v>0.16</v>
      </c>
      <c r="AY15" s="855">
        <v>0.9</v>
      </c>
      <c r="AZ15" s="303">
        <f>0.8*H15/1000</f>
        <v>0.70399999999999996</v>
      </c>
      <c r="BA15" s="612">
        <f>$BA$17/$H$17*H15*K15/$K$17</f>
        <v>46.050383141762445</v>
      </c>
      <c r="BB15" s="612">
        <f>$BB$17/$H$17*H15*K15/$K$17</f>
        <v>353.80172413793099</v>
      </c>
      <c r="BC15" s="381">
        <f t="shared" si="4"/>
        <v>12.718858272</v>
      </c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</row>
    <row r="16" spans="1:143" s="277" customFormat="1" ht="12.5" customHeight="1">
      <c r="A16" s="897" t="str">
        <f t="shared" si="7"/>
        <v xml:space="preserve">Gerste  11% RP </v>
      </c>
      <c r="B16" s="298">
        <f>IF(D16=""," ",COUNTA($D$8:D16))</f>
        <v>9</v>
      </c>
      <c r="C16" s="327"/>
      <c r="D16" s="481" t="s">
        <v>40</v>
      </c>
      <c r="E16" s="618">
        <f t="shared" si="0"/>
        <v>11</v>
      </c>
      <c r="F16" s="312"/>
      <c r="G16" s="313" t="s">
        <v>46</v>
      </c>
      <c r="H16" s="314">
        <v>880</v>
      </c>
      <c r="I16" s="314">
        <v>109.8</v>
      </c>
      <c r="J16" s="314">
        <f>I16*0.73</f>
        <v>80.153999999999996</v>
      </c>
      <c r="K16" s="314">
        <v>55.3</v>
      </c>
      <c r="L16" s="317">
        <f>I16*0.0205*AV16+0.0398*AW16*AE16+0.0173*AF16+0.016*$AG16+0.0147*AI16</f>
        <v>12.5864011</v>
      </c>
      <c r="M16" s="317">
        <f>$I16*0.021503+0.032497*$AE16+0.016309*$AF16+0.014701*$AJ16-0.021071*$K16</f>
        <v>12.601872600000004</v>
      </c>
      <c r="N16" s="315">
        <f>IF(I16=0," ",I16*0.0229+1.38)</f>
        <v>3.8944199999999998</v>
      </c>
      <c r="O16" s="316">
        <f t="shared" si="8"/>
        <v>2.8429265999999997</v>
      </c>
      <c r="P16" s="315">
        <f>IF(N16=" "," ",I16*0.0276+1.07)</f>
        <v>4.1004800000000001</v>
      </c>
      <c r="Q16" s="316">
        <f t="shared" si="9"/>
        <v>3.4336124631578953</v>
      </c>
      <c r="R16" s="315">
        <f>IF(N16=" "," ",I16*0.0264+0.72)</f>
        <v>3.6187199999999997</v>
      </c>
      <c r="S16" s="316">
        <f t="shared" si="10"/>
        <v>2.7502271999999999</v>
      </c>
      <c r="T16" s="315">
        <f>IF(N16=" "," ",I16*0.0099+0.28)</f>
        <v>1.3670200000000001</v>
      </c>
      <c r="U16" s="316">
        <f t="shared" si="11"/>
        <v>1.0389352000000001</v>
      </c>
      <c r="V16" s="315">
        <f>0.49*H16/1000</f>
        <v>0.43119999999999997</v>
      </c>
      <c r="W16" s="315">
        <v>3.5</v>
      </c>
      <c r="X16" s="316">
        <f>0.45*W16</f>
        <v>1.575</v>
      </c>
      <c r="Y16" s="316">
        <f>W16*0.65</f>
        <v>2.2749999999999999</v>
      </c>
      <c r="Z16" s="315">
        <v>1.1000000000000001</v>
      </c>
      <c r="AA16" s="317">
        <v>0.15</v>
      </c>
      <c r="AB16" s="318">
        <v>4.4000000000000004</v>
      </c>
      <c r="AC16" s="315">
        <f>IF($I16=""," ",$I16*0.0133+0.32)</f>
        <v>1.78034</v>
      </c>
      <c r="AD16" s="315">
        <f>AC16*0.82</f>
        <v>1.4598788</v>
      </c>
      <c r="AE16" s="314">
        <v>23.9</v>
      </c>
      <c r="AF16" s="314">
        <v>510.5</v>
      </c>
      <c r="AG16" s="314">
        <v>22.9</v>
      </c>
      <c r="AH16" s="314">
        <v>23.8</v>
      </c>
      <c r="AI16" s="314">
        <f>(H16-AH16)*AU16-I16*AV16-AE16*AW16-AF16-AG16</f>
        <v>84.424999999999926</v>
      </c>
      <c r="AJ16" s="314">
        <f>$H16-($AE16+$AF16+$AH16+$I16+$K16)</f>
        <v>156.70000000000016</v>
      </c>
      <c r="AK16" s="315">
        <f>AL16+AM16</f>
        <v>14.818</v>
      </c>
      <c r="AL16" s="315">
        <f>57*AE16/100</f>
        <v>13.622999999999999</v>
      </c>
      <c r="AM16" s="315">
        <f>5*AE16/100</f>
        <v>1.1950000000000001</v>
      </c>
      <c r="AN16" s="314"/>
      <c r="AO16" s="314"/>
      <c r="AP16" s="314"/>
      <c r="AQ16" s="314">
        <f t="shared" si="1"/>
        <v>-45.658239999999992</v>
      </c>
      <c r="AR16" s="314">
        <f t="shared" si="2"/>
        <v>336.64436799999999</v>
      </c>
      <c r="AS16" s="314">
        <f>AX16*K16+AY16*AT16-AF16-AG16</f>
        <v>75.928000000000083</v>
      </c>
      <c r="AT16" s="314">
        <f t="shared" si="3"/>
        <v>667.20000000000016</v>
      </c>
      <c r="AU16" s="854">
        <v>0.83</v>
      </c>
      <c r="AV16" s="854">
        <v>0.73</v>
      </c>
      <c r="AW16" s="854">
        <v>0.53</v>
      </c>
      <c r="AX16" s="854">
        <v>0.16</v>
      </c>
      <c r="AY16" s="854">
        <v>0.9</v>
      </c>
      <c r="AZ16" s="317">
        <f>0.8*H16/1000</f>
        <v>0.70399999999999996</v>
      </c>
      <c r="BA16" s="314">
        <f>$BA$17/$H$17*H16*K16/$K$17</f>
        <v>47.778352490421447</v>
      </c>
      <c r="BB16" s="314">
        <f>$BB$17/$H$17*H16*K16/$K$17</f>
        <v>367.07758620689657</v>
      </c>
      <c r="BC16" s="317">
        <f t="shared" si="4"/>
        <v>12.829666998000002</v>
      </c>
    </row>
    <row r="17" spans="1:143" s="277" customFormat="1" ht="12.5" customHeight="1">
      <c r="A17" s="897" t="str">
        <f t="shared" si="7"/>
        <v>Gerste  10% RP  DLG 2014</v>
      </c>
      <c r="B17" s="298">
        <f>IF(D17=""," ",COUNTA($D$8:D17))</f>
        <v>10</v>
      </c>
      <c r="C17" s="327"/>
      <c r="D17" s="482" t="s">
        <v>40</v>
      </c>
      <c r="E17" s="620">
        <f t="shared" si="0"/>
        <v>10</v>
      </c>
      <c r="F17" s="319" t="s">
        <v>970</v>
      </c>
      <c r="G17" s="320"/>
      <c r="H17" s="321">
        <v>870</v>
      </c>
      <c r="I17" s="321">
        <v>104</v>
      </c>
      <c r="J17" s="321">
        <f>I17*0.73</f>
        <v>75.92</v>
      </c>
      <c r="K17" s="321">
        <v>48</v>
      </c>
      <c r="L17" s="381">
        <f>I17*0.0205*AV17+0.0398*AW17*AE17+0.0173*AF17+0.016*$AG17+0.0147*AI17</f>
        <v>12.47168224</v>
      </c>
      <c r="M17" s="621">
        <f>$I17*0.021503+0.032497*$AE17+0.016309*$AF17+0.014701*$AJ17-0.021071*$K17</f>
        <v>12.697406240000001</v>
      </c>
      <c r="N17" s="311">
        <f>IF(I17=0," ",I17*0.0229+1.38)</f>
        <v>3.7616000000000001</v>
      </c>
      <c r="O17" s="302">
        <f t="shared" si="8"/>
        <v>2.745968</v>
      </c>
      <c r="P17" s="311">
        <f>IF(N17=" "," ",I17*0.0276+1.07)</f>
        <v>3.9404000000000003</v>
      </c>
      <c r="Q17" s="302">
        <f t="shared" si="9"/>
        <v>3.2995665263157901</v>
      </c>
      <c r="R17" s="311">
        <f>IF(N17=" "," ",I17*0.0264+0.72)</f>
        <v>3.4656000000000002</v>
      </c>
      <c r="S17" s="302">
        <f t="shared" si="10"/>
        <v>2.6338560000000002</v>
      </c>
      <c r="T17" s="311">
        <f>IF(N17=" "," ",I17*0.0099+0.28)</f>
        <v>1.3096000000000001</v>
      </c>
      <c r="U17" s="302">
        <f t="shared" si="11"/>
        <v>0.99529600000000007</v>
      </c>
      <c r="V17" s="274">
        <f>0.49*H17/1000</f>
        <v>0.42630000000000001</v>
      </c>
      <c r="W17" s="311">
        <v>3.5</v>
      </c>
      <c r="X17" s="302">
        <f>0.45*W17</f>
        <v>1.575</v>
      </c>
      <c r="Y17" s="302">
        <f>W17*0.65</f>
        <v>2.2749999999999999</v>
      </c>
      <c r="Z17" s="311">
        <v>1.1000000000000001</v>
      </c>
      <c r="AA17" s="322">
        <v>0.15</v>
      </c>
      <c r="AB17" s="323">
        <v>4.4000000000000004</v>
      </c>
      <c r="AC17" s="622">
        <f>IF($I17=""," ",$I17*0.0133+0.32)</f>
        <v>1.7032</v>
      </c>
      <c r="AD17" s="622">
        <f>AC17*0.82</f>
        <v>1.3966239999999999</v>
      </c>
      <c r="AE17" s="623">
        <v>24</v>
      </c>
      <c r="AF17" s="623">
        <v>522</v>
      </c>
      <c r="AG17" s="623">
        <v>23</v>
      </c>
      <c r="AH17" s="623">
        <f>27*0.88</f>
        <v>23.76</v>
      </c>
      <c r="AI17" s="612">
        <f>(H17-AH17)*AU17-I17*AV17-AE17*AW17-AF17-AG17</f>
        <v>68.739199999999983</v>
      </c>
      <c r="AJ17" s="623">
        <f>$H17-($AE17+$AF17+$AH17+$I17+$K17)</f>
        <v>148.24</v>
      </c>
      <c r="AK17" s="610">
        <f>AL17+AM17</f>
        <v>14.879999999999999</v>
      </c>
      <c r="AL17" s="610">
        <f>57*AE17/100</f>
        <v>13.68</v>
      </c>
      <c r="AM17" s="610">
        <f>5*AE17/100</f>
        <v>1.2</v>
      </c>
      <c r="AN17" s="623"/>
      <c r="AO17" s="623"/>
      <c r="AP17" s="623"/>
      <c r="AQ17" s="612">
        <f t="shared" si="1"/>
        <v>-43.598199999999991</v>
      </c>
      <c r="AR17" s="847">
        <f t="shared" si="2"/>
        <v>322.045682</v>
      </c>
      <c r="AS17" s="612">
        <f>AX17*K17+AY17*AT17-AF17-AG17</f>
        <v>65.895999999999958</v>
      </c>
      <c r="AT17" s="612">
        <f t="shared" ref="AT17:AT25" si="12">IF(H17=""," ",H17-I17-AE17-AH17-K17)</f>
        <v>670.24</v>
      </c>
      <c r="AU17" s="855">
        <v>0.83</v>
      </c>
      <c r="AV17" s="855">
        <v>0.73</v>
      </c>
      <c r="AW17" s="855">
        <v>0.53</v>
      </c>
      <c r="AX17" s="855">
        <v>0.16</v>
      </c>
      <c r="AY17" s="855">
        <v>0.9</v>
      </c>
      <c r="AZ17" s="303">
        <f>0.8*H17/1000</f>
        <v>0.69599999999999995</v>
      </c>
      <c r="BA17" s="612">
        <v>41</v>
      </c>
      <c r="BB17" s="612">
        <v>315</v>
      </c>
      <c r="BC17" s="381">
        <f t="shared" si="4"/>
        <v>13.539106555200004</v>
      </c>
    </row>
    <row r="18" spans="1:143" s="3" customFormat="1" ht="12.5" customHeight="1">
      <c r="A18" s="897" t="str">
        <f t="shared" si="7"/>
        <v>eigene Gerste 11% RP Ø 2016</v>
      </c>
      <c r="B18" s="298">
        <f>IF(D18=""," ",COUNTA($D$8:D18))</f>
        <v>11</v>
      </c>
      <c r="C18" s="327"/>
      <c r="D18" s="480" t="s">
        <v>288</v>
      </c>
      <c r="E18" s="619">
        <f t="shared" si="0"/>
        <v>11</v>
      </c>
      <c r="F18" s="306" t="str">
        <f>IF(I18=107.8,"Ø 2016","")</f>
        <v>Ø 2016</v>
      </c>
      <c r="G18" s="305"/>
      <c r="H18" s="91">
        <v>880</v>
      </c>
      <c r="I18" s="91">
        <v>107.8</v>
      </c>
      <c r="J18" s="306">
        <f>IF(I18=0," ",I18*0.73)</f>
        <v>78.694000000000003</v>
      </c>
      <c r="K18" s="91">
        <v>54.4</v>
      </c>
      <c r="L18" s="988">
        <f>IF($I18=""," ",I18*0.0205*AV18+0.0398*AW18*AE18+0.0173*AF18+0.016*$AG18+0.0147*AI18)</f>
        <v>12.5725728</v>
      </c>
      <c r="M18" s="988">
        <f>IF(I18=""," ",$I18*0.021503+0.032497*$AE18+0.016309*$AF18+0.014701*$AJ18-0.021071*$K18)</f>
        <v>12.616271800000003</v>
      </c>
      <c r="N18" s="307">
        <f>IF(I18=0," ",(I18/H18*880*0.0229+1.38)/880*H18)</f>
        <v>3.8486199999999999</v>
      </c>
      <c r="O18" s="308">
        <f t="shared" si="8"/>
        <v>2.8094926</v>
      </c>
      <c r="P18" s="307">
        <f>IF(N18=" "," ",(I18/H18*880*0.0276+1.07)/880*H18)</f>
        <v>4.04528</v>
      </c>
      <c r="Q18" s="308">
        <f t="shared" si="9"/>
        <v>3.3873897263157899</v>
      </c>
      <c r="R18" s="307">
        <f>IF(N18=" "," ",(I18/H18*880*0.0264+0.72)/880*H18)</f>
        <v>3.5659200000000002</v>
      </c>
      <c r="S18" s="308">
        <f t="shared" si="10"/>
        <v>2.7100992000000002</v>
      </c>
      <c r="T18" s="307">
        <f>IF(N18=" "," ",(I18/H18*880*0.0099+0.28)/880*H18)</f>
        <v>1.3472200000000001</v>
      </c>
      <c r="U18" s="308">
        <f t="shared" si="11"/>
        <v>1.0238872000000001</v>
      </c>
      <c r="V18" s="307">
        <f t="shared" ref="V18:Z19" si="13">IF($I18=0," ",V$17*$H18/$H$17)</f>
        <v>0.43120000000000003</v>
      </c>
      <c r="W18" s="307">
        <f t="shared" si="13"/>
        <v>3.5402298850574714</v>
      </c>
      <c r="X18" s="308">
        <f t="shared" si="13"/>
        <v>1.5931034482758621</v>
      </c>
      <c r="Y18" s="307">
        <f t="shared" si="13"/>
        <v>2.3011494252873561</v>
      </c>
      <c r="Z18" s="307">
        <f t="shared" si="13"/>
        <v>1.1126436781609197</v>
      </c>
      <c r="AA18" s="309">
        <f>IF($I18=0," ",AA17*$H18/$H17)</f>
        <v>0.15172413793103448</v>
      </c>
      <c r="AB18" s="310">
        <f>IF($I18=0," ",AB$17*$H18/$H$17)</f>
        <v>4.4505747126436788</v>
      </c>
      <c r="AC18" s="307">
        <f>IF($I18=""," ",($I18/H18*880*0.0133+0.32)/880*H18)</f>
        <v>1.7537399999999996</v>
      </c>
      <c r="AD18" s="307">
        <f>IF($N18=" "," ",AC18*0.82)</f>
        <v>1.4380667999999996</v>
      </c>
      <c r="AE18" s="92">
        <v>23.8</v>
      </c>
      <c r="AF18" s="92">
        <v>509</v>
      </c>
      <c r="AG18" s="92">
        <v>22.8</v>
      </c>
      <c r="AH18" s="92">
        <v>23.8</v>
      </c>
      <c r="AI18" s="306">
        <f>IF($I18=""," ",(H18-AH18)*AU18-I18*AV18-AE18*AW18-AF18-AG18)</f>
        <v>87.537999999999968</v>
      </c>
      <c r="AJ18" s="306">
        <f>IF($I18=""," ",$H18-($AE18+$AF18+$AH18+$I18+$K18))</f>
        <v>161.20000000000016</v>
      </c>
      <c r="AK18" s="307">
        <f t="shared" ref="AK18:AM19" si="14">IF($I18=0," ",AK17*$H18/$H17)</f>
        <v>15.05103448275862</v>
      </c>
      <c r="AL18" s="307">
        <f t="shared" si="14"/>
        <v>13.837241379310344</v>
      </c>
      <c r="AM18" s="307">
        <f t="shared" si="14"/>
        <v>1.2137931034482758</v>
      </c>
      <c r="AN18" s="306"/>
      <c r="AO18" s="306"/>
      <c r="AP18" s="306"/>
      <c r="AQ18" s="306">
        <f t="shared" si="1"/>
        <v>-44.873973333333289</v>
      </c>
      <c r="AR18" s="306">
        <f t="shared" si="2"/>
        <v>332.25885075862072</v>
      </c>
      <c r="AS18" s="306">
        <f>IF($I18=0," ",AX18*K18+AY18*AT18-AF18-AG18)</f>
        <v>80.084000000000131</v>
      </c>
      <c r="AT18" s="92">
        <f t="shared" si="12"/>
        <v>670.20000000000016</v>
      </c>
      <c r="AU18" s="853">
        <f>IF($I18=0," ",83%)</f>
        <v>0.83</v>
      </c>
      <c r="AV18" s="853">
        <f>IF($I18=0," ",73%)</f>
        <v>0.73</v>
      </c>
      <c r="AW18" s="853">
        <f>IF($I18=0," ",53%)</f>
        <v>0.53</v>
      </c>
      <c r="AX18" s="853">
        <f>IF($I18=0," ",AX17)</f>
        <v>0.16</v>
      </c>
      <c r="AY18" s="853">
        <f>IF($I18=0," ",AY17)</f>
        <v>0.9</v>
      </c>
      <c r="AZ18" s="309">
        <f>IF($I18=0," ",AZ17*$H18/$H17)</f>
        <v>0.70399999999999985</v>
      </c>
      <c r="BA18" s="92">
        <f>IF($I18=0," ",41*$H18/$H$17*K18/$K$17)</f>
        <v>47.000766283524904</v>
      </c>
      <c r="BB18" s="92">
        <f>IF($I18=0," ",315*$H18/$H17*K18/$K17)</f>
        <v>361.10344827586209</v>
      </c>
      <c r="BC18" s="988">
        <f t="shared" si="4"/>
        <v>12.905078414000002</v>
      </c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</row>
    <row r="19" spans="1:143" s="3" customFormat="1" ht="12.5" customHeight="1">
      <c r="A19" s="897" t="str">
        <f t="shared" si="7"/>
        <v>eigene Gerste 2 10% RP Ø 2015</v>
      </c>
      <c r="B19" s="298">
        <f>IF(D19=""," ",COUNTA($D$8:D19))</f>
        <v>12</v>
      </c>
      <c r="C19" s="327"/>
      <c r="D19" s="480" t="s">
        <v>331</v>
      </c>
      <c r="E19" s="619">
        <f>IF(I19=0," ",ROUND(I19/10,0))</f>
        <v>10</v>
      </c>
      <c r="F19" s="306" t="str">
        <f>IF(I19=96.535,"Ø 2015","")</f>
        <v>Ø 2015</v>
      </c>
      <c r="G19" s="305"/>
      <c r="H19" s="91">
        <v>880</v>
      </c>
      <c r="I19" s="91">
        <v>96.534999999999997</v>
      </c>
      <c r="J19" s="306">
        <f>IF(I19=0," ",I19*0.73)</f>
        <v>70.470549999999989</v>
      </c>
      <c r="K19" s="91">
        <v>53.604999999999997</v>
      </c>
      <c r="L19" s="988">
        <f>IF($I19=""," ",I19*0.0205*AV19+0.0398*AW19*AE19+0.0173*AF19+0.016*$AG19+0.0147*AI19)</f>
        <v>12.561978909999999</v>
      </c>
      <c r="M19" s="988">
        <f>IF(I19=""," ",$I19*0.021503+0.032497*$AE19+0.016309*$AF19+0.014701*$AJ19-0.021071*$K19)</f>
        <v>12.590889074000001</v>
      </c>
      <c r="N19" s="307">
        <f>IF(I19=0," ",(I19/H19*880*0.0229+1.38)/880*H19)</f>
        <v>3.5906514999999999</v>
      </c>
      <c r="O19" s="308">
        <f t="shared" si="8"/>
        <v>2.621175595</v>
      </c>
      <c r="P19" s="307">
        <f>IF(N19=" "," ",(I19/H19*880*0.0276+1.07)/880*H19)</f>
        <v>3.7343660000000001</v>
      </c>
      <c r="Q19" s="308">
        <f t="shared" si="9"/>
        <v>3.1270401610526322</v>
      </c>
      <c r="R19" s="307">
        <f>IF(N19=" "," ",(I19/H19*880*0.0264+0.72)/880*H19)</f>
        <v>3.2685240000000002</v>
      </c>
      <c r="S19" s="308">
        <f t="shared" si="10"/>
        <v>2.4840782400000001</v>
      </c>
      <c r="T19" s="307">
        <f>IF(N19=" "," ",(I19/H19*880*0.0099+0.28)/880*H19)</f>
        <v>1.2356965</v>
      </c>
      <c r="U19" s="308">
        <f t="shared" si="11"/>
        <v>0.93912934000000003</v>
      </c>
      <c r="V19" s="307">
        <f t="shared" si="13"/>
        <v>0.43120000000000003</v>
      </c>
      <c r="W19" s="307">
        <f t="shared" si="13"/>
        <v>3.5402298850574714</v>
      </c>
      <c r="X19" s="308">
        <f t="shared" si="13"/>
        <v>1.5931034482758621</v>
      </c>
      <c r="Y19" s="307">
        <f t="shared" si="13"/>
        <v>2.3011494252873561</v>
      </c>
      <c r="Z19" s="307">
        <f t="shared" si="13"/>
        <v>1.1126436781609197</v>
      </c>
      <c r="AA19" s="309">
        <f>IF($I19=0," ",AA18*$H19/$H18)</f>
        <v>0.15172413793103448</v>
      </c>
      <c r="AB19" s="310">
        <f>IF($I19=0," ",AB$17*$H19/$H$17)</f>
        <v>4.4505747126436788</v>
      </c>
      <c r="AC19" s="307">
        <f>IF($I19=""," ",($I19/H19*880*0.0133+0.32)/880*H19)</f>
        <v>1.6039155</v>
      </c>
      <c r="AD19" s="307">
        <f>IF($N19=" "," ",AC19*0.82)</f>
        <v>1.3152107099999999</v>
      </c>
      <c r="AE19" s="92">
        <v>23.76</v>
      </c>
      <c r="AF19" s="92">
        <v>523.25800000000004</v>
      </c>
      <c r="AG19" s="92">
        <v>22.858000000000001</v>
      </c>
      <c r="AH19" s="92">
        <v>23.76</v>
      </c>
      <c r="AI19" s="306">
        <f>IF($I19=""," ",(H19-AH19)*AU19-I19*AV19-AE19*AW19-AF19-AG19)</f>
        <v>81.499849999999867</v>
      </c>
      <c r="AJ19" s="306">
        <f>IF($I19=""," ",$H19-($AE19+$AF19+$AH19+$I19+$K19))</f>
        <v>159.08199999999999</v>
      </c>
      <c r="AK19" s="307">
        <f t="shared" si="14"/>
        <v>15.05103448275862</v>
      </c>
      <c r="AL19" s="307">
        <f t="shared" si="14"/>
        <v>13.837241379310344</v>
      </c>
      <c r="AM19" s="307">
        <f t="shared" si="14"/>
        <v>1.2137931034482758</v>
      </c>
      <c r="AN19" s="306"/>
      <c r="AO19" s="306"/>
      <c r="AP19" s="306"/>
      <c r="AQ19" s="306">
        <f>IF(H19="","",50*V19+83*Z19+26*AB19+44*AA19-59*W19-13*P19-28*AZ19)</f>
        <v>-40.832091333333295</v>
      </c>
      <c r="AR19" s="306">
        <f>IF(H19="","",V19/1000*20140+Z19/1000*48600+1100/440*I19)</f>
        <v>304.0963507586207</v>
      </c>
      <c r="AS19" s="306">
        <f>IF($I19=0," ",AX19*K19+AY19*AT19-AF19-AG19)</f>
        <v>76.566800000000001</v>
      </c>
      <c r="AT19" s="92">
        <f t="shared" si="12"/>
        <v>682.34</v>
      </c>
      <c r="AU19" s="853">
        <f>IF($I19=0," ",83%)</f>
        <v>0.83</v>
      </c>
      <c r="AV19" s="853">
        <f>IF($I19=0," ",73%)</f>
        <v>0.73</v>
      </c>
      <c r="AW19" s="853">
        <f>IF($I19=0," ",53%)</f>
        <v>0.53</v>
      </c>
      <c r="AX19" s="853">
        <f>IF($I19=0," ",AX18)</f>
        <v>0.16</v>
      </c>
      <c r="AY19" s="853">
        <f>IF($I19=0," ",AY18)</f>
        <v>0.9</v>
      </c>
      <c r="AZ19" s="309">
        <f>IF($I19=0," ",AZ18*$H19/$H18)</f>
        <v>0.70399999999999985</v>
      </c>
      <c r="BA19" s="92">
        <f>IF($I19=0," ",41*$H19/$H$17*K19/$K$17)</f>
        <v>46.313898467432949</v>
      </c>
      <c r="BB19" s="92">
        <f>IF($I19=0," ",315*$H19/$H$17*K19/$K$17)</f>
        <v>355.82629310344828</v>
      </c>
      <c r="BC19" s="988">
        <f t="shared" si="4"/>
        <v>13.446234024020004</v>
      </c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</row>
    <row r="20" spans="1:143" s="3" customFormat="1" ht="12.5" customHeight="1">
      <c r="A20" s="897" t="str">
        <f t="shared" si="7"/>
        <v xml:space="preserve">Gerste  10% RP </v>
      </c>
      <c r="B20" s="298">
        <f>IF(D20=""," ",COUNTA($D$8:D20))</f>
        <v>13</v>
      </c>
      <c r="C20" s="327"/>
      <c r="D20" s="479" t="s">
        <v>40</v>
      </c>
      <c r="E20" s="617">
        <f t="shared" si="0"/>
        <v>10</v>
      </c>
      <c r="F20" s="299"/>
      <c r="G20" s="300" t="s">
        <v>69</v>
      </c>
      <c r="H20" s="275">
        <v>880</v>
      </c>
      <c r="I20" s="275">
        <v>100.7</v>
      </c>
      <c r="J20" s="275">
        <f>I20*0.73</f>
        <v>73.510999999999996</v>
      </c>
      <c r="K20" s="275">
        <v>54</v>
      </c>
      <c r="L20" s="381">
        <f t="shared" ref="L20:L25" si="15">I20*0.0205*AV20+0.0398*AW20*AE20+0.0173*AF20+0.016*$AG20+0.0147*AI20</f>
        <v>12.555051500000001</v>
      </c>
      <c r="M20" s="322">
        <f t="shared" ref="M20:M25" si="16">$I20*0.021503+0.032497*$AE20+0.016309*$AF20+0.014701*$AJ20-0.021071*$K20</f>
        <v>12.589487399999999</v>
      </c>
      <c r="N20" s="311">
        <f>IF(I20=0," ",I20*0.0229+1.38)</f>
        <v>3.6860300000000001</v>
      </c>
      <c r="O20" s="302">
        <f t="shared" si="8"/>
        <v>2.6908018999999999</v>
      </c>
      <c r="P20" s="311">
        <f>IF(N20=" "," ",I20*0.0276+1.07)</f>
        <v>3.8493200000000005</v>
      </c>
      <c r="Q20" s="302">
        <f t="shared" si="9"/>
        <v>3.2232990105263171</v>
      </c>
      <c r="R20" s="311">
        <f>IF(N20=" "," ",I20*0.0264+0.72)</f>
        <v>3.3784799999999997</v>
      </c>
      <c r="S20" s="302">
        <f t="shared" si="10"/>
        <v>2.5676447999999996</v>
      </c>
      <c r="T20" s="311">
        <f>IF(N20=" "," ",I20*0.0099+0.28)</f>
        <v>1.2769300000000001</v>
      </c>
      <c r="U20" s="302">
        <f t="shared" si="11"/>
        <v>0.97046680000000007</v>
      </c>
      <c r="V20" s="274">
        <f>0.49*H20/1000</f>
        <v>0.43119999999999997</v>
      </c>
      <c r="W20" s="274">
        <v>3.5</v>
      </c>
      <c r="X20" s="301">
        <f>0.45*W20</f>
        <v>1.575</v>
      </c>
      <c r="Y20" s="301">
        <f t="shared" ref="Y20:Y25" si="17">W20*0.65</f>
        <v>2.2749999999999999</v>
      </c>
      <c r="Z20" s="274">
        <v>1.1000000000000001</v>
      </c>
      <c r="AA20" s="303">
        <v>0.15</v>
      </c>
      <c r="AB20" s="276">
        <v>4.4000000000000004</v>
      </c>
      <c r="AC20" s="311">
        <f>IF($I20=""," ",$I20*0.0133+0.32)</f>
        <v>1.6593100000000001</v>
      </c>
      <c r="AD20" s="311">
        <f>AC20*0.82</f>
        <v>1.3606342</v>
      </c>
      <c r="AE20" s="321">
        <v>23.9</v>
      </c>
      <c r="AF20" s="321">
        <v>514.20000000000005</v>
      </c>
      <c r="AG20" s="321">
        <v>22.9</v>
      </c>
      <c r="AH20" s="321">
        <v>24</v>
      </c>
      <c r="AI20" s="612">
        <f t="shared" ref="AI20:AI25" si="18">(H20-AH20)*AU20-I20*AV20-AE20*AW20-AF20-AG20</f>
        <v>87.20199999999997</v>
      </c>
      <c r="AJ20" s="321">
        <f t="shared" ref="AJ20:AJ25" si="19">$H20-($AE20+$AF20+$AH20+$I20+$K20)</f>
        <v>163.19999999999993</v>
      </c>
      <c r="AK20" s="610">
        <f>AL20+AM20</f>
        <v>14.818</v>
      </c>
      <c r="AL20" s="610">
        <f>57*AE20/100</f>
        <v>13.622999999999999</v>
      </c>
      <c r="AM20" s="610">
        <f>5*AE20/100</f>
        <v>1.1950000000000001</v>
      </c>
      <c r="AN20" s="321"/>
      <c r="AO20" s="321"/>
      <c r="AP20" s="321"/>
      <c r="AQ20" s="612">
        <f t="shared" si="1"/>
        <v>-42.393159999999995</v>
      </c>
      <c r="AR20" s="847">
        <f t="shared" si="2"/>
        <v>313.89436799999999</v>
      </c>
      <c r="AS20" s="612">
        <f t="shared" ref="AS20:AS25" si="20">AX20*K20+AY20*AT20-AF20-AG20</f>
        <v>81.199999999999903</v>
      </c>
      <c r="AT20" s="612">
        <f t="shared" si="12"/>
        <v>677.4</v>
      </c>
      <c r="AU20" s="855">
        <v>0.83</v>
      </c>
      <c r="AV20" s="855">
        <v>0.73</v>
      </c>
      <c r="AW20" s="855">
        <v>0.53</v>
      </c>
      <c r="AX20" s="855">
        <v>0.16</v>
      </c>
      <c r="AY20" s="855">
        <v>0.9</v>
      </c>
      <c r="AZ20" s="303">
        <f>0.8*H20/1000</f>
        <v>0.70399999999999996</v>
      </c>
      <c r="BA20" s="612">
        <f>$BA$17/$H$17*H20*K20/$K$17</f>
        <v>46.655172413793103</v>
      </c>
      <c r="BB20" s="612">
        <f>$BB$17/$H$17*H20*K20/$K$17</f>
        <v>358.44827586206901</v>
      </c>
      <c r="BC20" s="381">
        <f t="shared" si="4"/>
        <v>13.184225801999998</v>
      </c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7"/>
      <c r="DX20" s="277"/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</row>
    <row r="21" spans="1:143" s="3" customFormat="1" ht="12" customHeight="1">
      <c r="A21" s="897" t="str">
        <f t="shared" si="7"/>
        <v xml:space="preserve">Gerste  9% RP </v>
      </c>
      <c r="B21" s="298">
        <f>IF(D21=""," ",COUNTA($D$8:D21))</f>
        <v>14</v>
      </c>
      <c r="C21" s="327"/>
      <c r="D21" s="479" t="s">
        <v>40</v>
      </c>
      <c r="E21" s="617">
        <f t="shared" si="0"/>
        <v>9</v>
      </c>
      <c r="F21" s="299"/>
      <c r="G21" s="300" t="s">
        <v>545</v>
      </c>
      <c r="H21" s="275">
        <v>880</v>
      </c>
      <c r="I21" s="275">
        <v>90.6</v>
      </c>
      <c r="J21" s="275">
        <f>I21*0.73</f>
        <v>66.137999999999991</v>
      </c>
      <c r="K21" s="275">
        <v>52.3</v>
      </c>
      <c r="L21" s="381">
        <f t="shared" si="15"/>
        <v>12.574137799999999</v>
      </c>
      <c r="M21" s="322">
        <f t="shared" si="16"/>
        <v>12.618894400000002</v>
      </c>
      <c r="N21" s="311">
        <f>IF(I21=0," ",I21*0.0229+1.38)</f>
        <v>3.4547399999999997</v>
      </c>
      <c r="O21" s="302">
        <f t="shared" si="8"/>
        <v>2.5219601999999997</v>
      </c>
      <c r="P21" s="311">
        <f>IF(N21=" "," ",I21*0.0276+1.07)</f>
        <v>3.5705599999999995</v>
      </c>
      <c r="Q21" s="302">
        <f t="shared" si="9"/>
        <v>2.9898741894736842</v>
      </c>
      <c r="R21" s="311">
        <f>IF(N21=" "," ",I21*0.0264+0.72)</f>
        <v>3.1118399999999999</v>
      </c>
      <c r="S21" s="302">
        <f t="shared" si="10"/>
        <v>2.3649984000000002</v>
      </c>
      <c r="T21" s="311">
        <f>IF(N21=" "," ",I21*0.0099+0.28)</f>
        <v>1.1769400000000001</v>
      </c>
      <c r="U21" s="302">
        <f t="shared" si="11"/>
        <v>0.89447440000000011</v>
      </c>
      <c r="V21" s="274">
        <f>0.49*H21/1000</f>
        <v>0.43119999999999997</v>
      </c>
      <c r="W21" s="274">
        <v>3.5</v>
      </c>
      <c r="X21" s="301">
        <f>0.45*W21</f>
        <v>1.575</v>
      </c>
      <c r="Y21" s="301">
        <f t="shared" si="17"/>
        <v>2.2749999999999999</v>
      </c>
      <c r="Z21" s="274">
        <v>1.1000000000000001</v>
      </c>
      <c r="AA21" s="303">
        <v>0.15</v>
      </c>
      <c r="AB21" s="276">
        <v>4.4000000000000004</v>
      </c>
      <c r="AC21" s="311">
        <f>IF($I21=""," ",$I21*0.0133+0.32)</f>
        <v>1.52498</v>
      </c>
      <c r="AD21" s="311">
        <f>AC21*0.82</f>
        <v>1.2504835999999999</v>
      </c>
      <c r="AE21" s="321">
        <v>23.8</v>
      </c>
      <c r="AF21" s="321">
        <v>538.5</v>
      </c>
      <c r="AG21" s="321">
        <v>22.9</v>
      </c>
      <c r="AH21" s="321">
        <v>24</v>
      </c>
      <c r="AI21" s="612">
        <f t="shared" si="18"/>
        <v>70.327999999999946</v>
      </c>
      <c r="AJ21" s="321">
        <f t="shared" si="19"/>
        <v>150.80000000000007</v>
      </c>
      <c r="AK21" s="610">
        <f>AL21+AM21</f>
        <v>14.756</v>
      </c>
      <c r="AL21" s="610">
        <f>57*AE21/100</f>
        <v>13.566000000000001</v>
      </c>
      <c r="AM21" s="610">
        <f>5*AE21/100</f>
        <v>1.19</v>
      </c>
      <c r="AN21" s="321"/>
      <c r="AO21" s="321"/>
      <c r="AP21" s="321"/>
      <c r="AQ21" s="612">
        <f t="shared" si="1"/>
        <v>-38.769279999999981</v>
      </c>
      <c r="AR21" s="847">
        <f t="shared" si="2"/>
        <v>288.64436799999999</v>
      </c>
      <c r="AS21" s="612">
        <f t="shared" si="20"/>
        <v>67.338000000000164</v>
      </c>
      <c r="AT21" s="612">
        <f t="shared" si="12"/>
        <v>689.30000000000007</v>
      </c>
      <c r="AU21" s="855">
        <v>0.83</v>
      </c>
      <c r="AV21" s="855">
        <v>0.73</v>
      </c>
      <c r="AW21" s="855">
        <v>0.53</v>
      </c>
      <c r="AX21" s="855">
        <v>0.16</v>
      </c>
      <c r="AY21" s="855">
        <v>0.9</v>
      </c>
      <c r="AZ21" s="303">
        <f>0.8*H21/1000</f>
        <v>0.70399999999999996</v>
      </c>
      <c r="BA21" s="612">
        <f>$BA$17/$H$17*H21*K21/$K$17</f>
        <v>45.186398467432944</v>
      </c>
      <c r="BB21" s="612">
        <f>$BB$17/$H$17*H21*K21/$K$17</f>
        <v>347.16379310344831</v>
      </c>
      <c r="BC21" s="381">
        <f t="shared" si="4"/>
        <v>13.917192912000003</v>
      </c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</row>
    <row r="22" spans="1:143" s="3" customFormat="1" ht="12" customHeight="1">
      <c r="A22" s="897" t="str">
        <f t="shared" si="7"/>
        <v>Gerste öko 9% RP Ø Hessen</v>
      </c>
      <c r="B22" s="298">
        <f>IF(D22=""," ",COUNTA($D$8:D22))</f>
        <v>15</v>
      </c>
      <c r="C22" s="327"/>
      <c r="D22" s="479" t="s">
        <v>546</v>
      </c>
      <c r="E22" s="617">
        <f t="shared" si="0"/>
        <v>9</v>
      </c>
      <c r="F22" s="319" t="s">
        <v>549</v>
      </c>
      <c r="G22" s="300" t="s">
        <v>550</v>
      </c>
      <c r="H22" s="275">
        <v>880</v>
      </c>
      <c r="I22" s="275">
        <v>87.3</v>
      </c>
      <c r="J22" s="275">
        <f>I22*0.73</f>
        <v>63.728999999999999</v>
      </c>
      <c r="K22" s="275">
        <v>58.7</v>
      </c>
      <c r="L22" s="381">
        <f t="shared" si="15"/>
        <v>12.560165599999998</v>
      </c>
      <c r="M22" s="322">
        <f t="shared" si="16"/>
        <v>12.367507000000002</v>
      </c>
      <c r="N22" s="311">
        <f>IF(I22=0," ",I22*0.0229+1.38)</f>
        <v>3.3791699999999998</v>
      </c>
      <c r="O22" s="302">
        <f t="shared" si="8"/>
        <v>2.4667941</v>
      </c>
      <c r="P22" s="311">
        <f>IF(N22=" "," ",I22*0.0276+1.07)</f>
        <v>3.4794799999999997</v>
      </c>
      <c r="Q22" s="302">
        <f t="shared" si="9"/>
        <v>2.9136066736842108</v>
      </c>
      <c r="R22" s="311">
        <f>IF(N22=" "," ",I22*0.0264+0.72)</f>
        <v>3.0247200000000003</v>
      </c>
      <c r="S22" s="302">
        <f t="shared" si="10"/>
        <v>2.2987872000000005</v>
      </c>
      <c r="T22" s="311">
        <f>IF(N22=" "," ",I22*0.0099+0.28)</f>
        <v>1.1442700000000001</v>
      </c>
      <c r="U22" s="302">
        <f t="shared" si="11"/>
        <v>0.86964520000000012</v>
      </c>
      <c r="V22" s="274">
        <f>0.49*H22/1000</f>
        <v>0.43119999999999997</v>
      </c>
      <c r="W22" s="274">
        <v>3.5</v>
      </c>
      <c r="X22" s="301">
        <f>0.45*W22</f>
        <v>1.575</v>
      </c>
      <c r="Y22" s="301">
        <f t="shared" si="17"/>
        <v>2.2749999999999999</v>
      </c>
      <c r="Z22" s="274">
        <v>1.1000000000000001</v>
      </c>
      <c r="AA22" s="303">
        <v>0.15</v>
      </c>
      <c r="AB22" s="276">
        <v>4.4000000000000004</v>
      </c>
      <c r="AC22" s="311">
        <f>IF($I22=""," ",$I22*0.0133+0.32)</f>
        <v>1.48109</v>
      </c>
      <c r="AD22" s="311">
        <f>AC22*0.82</f>
        <v>1.2144937999999998</v>
      </c>
      <c r="AE22" s="321">
        <v>23.8</v>
      </c>
      <c r="AF22" s="321">
        <v>538.5</v>
      </c>
      <c r="AG22" s="321">
        <v>22.9</v>
      </c>
      <c r="AH22" s="321">
        <v>24</v>
      </c>
      <c r="AI22" s="612">
        <f t="shared" si="18"/>
        <v>72.736999999999938</v>
      </c>
      <c r="AJ22" s="321">
        <f t="shared" si="19"/>
        <v>147.70000000000005</v>
      </c>
      <c r="AK22" s="610">
        <f>AL22+AM22</f>
        <v>14.756</v>
      </c>
      <c r="AL22" s="610">
        <f>57*AE22/100</f>
        <v>13.566000000000001</v>
      </c>
      <c r="AM22" s="610">
        <f>5*AE22/100</f>
        <v>1.19</v>
      </c>
      <c r="AN22" s="321"/>
      <c r="AO22" s="321"/>
      <c r="AP22" s="321"/>
      <c r="AQ22" s="612">
        <f t="shared" si="1"/>
        <v>-37.585239999999985</v>
      </c>
      <c r="AR22" s="847">
        <f t="shared" si="2"/>
        <v>280.39436799999999</v>
      </c>
      <c r="AS22" s="612">
        <f t="shared" si="20"/>
        <v>65.572000000000088</v>
      </c>
      <c r="AT22" s="612">
        <f t="shared" si="12"/>
        <v>686.2</v>
      </c>
      <c r="AU22" s="855">
        <v>0.83</v>
      </c>
      <c r="AV22" s="855">
        <v>0.73</v>
      </c>
      <c r="AW22" s="855">
        <v>0.53</v>
      </c>
      <c r="AX22" s="855">
        <v>0.16</v>
      </c>
      <c r="AY22" s="855">
        <v>0.9</v>
      </c>
      <c r="AZ22" s="303">
        <f>0.8*H22/1000</f>
        <v>0.70399999999999996</v>
      </c>
      <c r="BA22" s="612">
        <f>$BA$17/$H$17*H22*K22/$K$17</f>
        <v>50.715900383141765</v>
      </c>
      <c r="BB22" s="612">
        <f>$BB$17/$H$17*H22*K22/$K$17</f>
        <v>389.64655172413796</v>
      </c>
      <c r="BC22" s="381">
        <f t="shared" si="4"/>
        <v>13.563680110000002</v>
      </c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</row>
    <row r="23" spans="1:143" s="3" customFormat="1" ht="12" customHeight="1">
      <c r="A23" s="897" t="str">
        <f t="shared" si="7"/>
        <v>Gerste Sommer 10% RP Ø Hessen</v>
      </c>
      <c r="B23" s="298">
        <f>IF(D23=""," ",COUNTA($D$8:D23))</f>
        <v>16</v>
      </c>
      <c r="C23" s="327"/>
      <c r="D23" s="479" t="s">
        <v>551</v>
      </c>
      <c r="E23" s="617">
        <f t="shared" si="0"/>
        <v>10</v>
      </c>
      <c r="F23" s="319" t="s">
        <v>549</v>
      </c>
      <c r="G23" s="300" t="s">
        <v>550</v>
      </c>
      <c r="H23" s="275">
        <v>880</v>
      </c>
      <c r="I23" s="275">
        <v>99.4</v>
      </c>
      <c r="J23" s="275">
        <f>I23*0.73</f>
        <v>72.561999999999998</v>
      </c>
      <c r="K23" s="275">
        <v>49.9</v>
      </c>
      <c r="L23" s="381">
        <f t="shared" si="15"/>
        <v>12.698748999999998</v>
      </c>
      <c r="M23" s="322">
        <f t="shared" si="16"/>
        <v>12.740806400000002</v>
      </c>
      <c r="N23" s="311">
        <f>IF(I23=0," ",I23*0.0241+1.3)</f>
        <v>3.6955400000000003</v>
      </c>
      <c r="O23" s="302">
        <f t="shared" si="8"/>
        <v>2.6977442000000003</v>
      </c>
      <c r="P23" s="311">
        <f>IF(N23=" "," ",I23*0.031+0.86)</f>
        <v>3.9414000000000002</v>
      </c>
      <c r="Q23" s="302">
        <f>IF(N23=" "," ",P23*(1.8*0.82+2.3*0.85)/3.8)</f>
        <v>3.5586693157894742</v>
      </c>
      <c r="R23" s="311">
        <f>IF(N23=" "," ",I23*0.0293+0.48)</f>
        <v>3.39242</v>
      </c>
      <c r="S23" s="302">
        <f t="shared" si="10"/>
        <v>2.5782392000000001</v>
      </c>
      <c r="T23" s="311">
        <f>IF(N23=" "," ",I23*0.0126+0.02)</f>
        <v>1.27244</v>
      </c>
      <c r="U23" s="302">
        <f t="shared" si="11"/>
        <v>0.96705439999999998</v>
      </c>
      <c r="V23" s="274">
        <f>0.8*H23/1000</f>
        <v>0.70399999999999996</v>
      </c>
      <c r="W23" s="274">
        <v>3.5</v>
      </c>
      <c r="X23" s="301">
        <f>0.45*W23</f>
        <v>1.575</v>
      </c>
      <c r="Y23" s="301">
        <f t="shared" si="17"/>
        <v>2.2749999999999999</v>
      </c>
      <c r="Z23" s="274">
        <f>1.3*H23/1000</f>
        <v>1.1439999999999999</v>
      </c>
      <c r="AA23" s="303">
        <v>0.15</v>
      </c>
      <c r="AB23" s="276">
        <f>5*H23/1000</f>
        <v>4.4000000000000004</v>
      </c>
      <c r="AC23" s="311">
        <f>IF($I23=""," ",$I23*0.015+0.18)</f>
        <v>1.671</v>
      </c>
      <c r="AD23" s="311">
        <f>AC23*0.82</f>
        <v>1.37022</v>
      </c>
      <c r="AE23" s="321">
        <v>23.8</v>
      </c>
      <c r="AF23" s="321">
        <v>523.70000000000005</v>
      </c>
      <c r="AG23" s="321">
        <v>22.9</v>
      </c>
      <c r="AH23" s="321">
        <v>24</v>
      </c>
      <c r="AI23" s="612">
        <f t="shared" si="18"/>
        <v>87.263999999999868</v>
      </c>
      <c r="AJ23" s="321">
        <f t="shared" si="19"/>
        <v>159.20000000000005</v>
      </c>
      <c r="AK23" s="610">
        <f>AL23+AM23</f>
        <v>14.756</v>
      </c>
      <c r="AL23" s="610">
        <f>57*AE23/100</f>
        <v>13.566000000000001</v>
      </c>
      <c r="AM23" s="610">
        <f>5*AE23/100</f>
        <v>1.19</v>
      </c>
      <c r="AN23" s="321"/>
      <c r="AO23" s="321"/>
      <c r="AP23" s="321"/>
      <c r="AQ23" s="612">
        <f t="shared" si="1"/>
        <v>-43.54620000000002</v>
      </c>
      <c r="AR23" s="847">
        <f t="shared" si="2"/>
        <v>318.27695999999997</v>
      </c>
      <c r="AS23" s="612">
        <f t="shared" si="20"/>
        <v>77.990000000000094</v>
      </c>
      <c r="AT23" s="612">
        <f t="shared" si="12"/>
        <v>682.90000000000009</v>
      </c>
      <c r="AU23" s="855">
        <v>0.84</v>
      </c>
      <c r="AV23" s="855">
        <v>0.73</v>
      </c>
      <c r="AW23" s="855">
        <v>0.53</v>
      </c>
      <c r="AX23" s="855">
        <v>0.2</v>
      </c>
      <c r="AY23" s="855">
        <v>0.9</v>
      </c>
      <c r="AZ23" s="303">
        <f>1.5*H23/1000</f>
        <v>1.32</v>
      </c>
      <c r="BA23" s="612">
        <f>$BA$17/$H$17*H23*K23/$K$17</f>
        <v>43.112835249042142</v>
      </c>
      <c r="BB23" s="612">
        <f>$BB$17/$H$17*H23*K23/$K$17</f>
        <v>331.23275862068971</v>
      </c>
      <c r="BC23" s="381">
        <f t="shared" si="4"/>
        <v>13.636188671999999</v>
      </c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  <c r="DN23" s="277"/>
      <c r="DO23" s="277"/>
      <c r="DP23" s="277"/>
      <c r="DQ23" s="277"/>
      <c r="DR23" s="277"/>
      <c r="DS23" s="277"/>
      <c r="DT23" s="277"/>
      <c r="DU23" s="277"/>
      <c r="DV23" s="277"/>
      <c r="DW23" s="277"/>
      <c r="DX23" s="277"/>
      <c r="DY23" s="277"/>
      <c r="DZ23" s="277"/>
      <c r="EA23" s="277"/>
      <c r="EB23" s="277"/>
      <c r="EC23" s="277"/>
      <c r="ED23" s="277"/>
      <c r="EE23" s="277"/>
      <c r="EF23" s="277"/>
      <c r="EG23" s="277"/>
      <c r="EH23" s="277"/>
      <c r="EI23" s="277"/>
      <c r="EJ23" s="277"/>
      <c r="EK23" s="277"/>
      <c r="EL23" s="277"/>
      <c r="EM23" s="277"/>
    </row>
    <row r="24" spans="1:143" s="3" customFormat="1" ht="12" customHeight="1">
      <c r="A24" s="897"/>
      <c r="B24" s="298">
        <f>IF(D24=""," ",COUNTA($D$8:D24))</f>
        <v>17</v>
      </c>
      <c r="C24" s="327"/>
      <c r="D24" s="479" t="s">
        <v>551</v>
      </c>
      <c r="E24" s="617">
        <f t="shared" si="0"/>
        <v>10</v>
      </c>
      <c r="F24" s="319" t="s">
        <v>970</v>
      </c>
      <c r="G24" s="300"/>
      <c r="H24" s="275">
        <v>870</v>
      </c>
      <c r="I24" s="275">
        <v>98</v>
      </c>
      <c r="J24" s="275">
        <f>I24*0.73</f>
        <v>71.539999999999992</v>
      </c>
      <c r="K24" s="275">
        <v>44</v>
      </c>
      <c r="L24" s="381">
        <f t="shared" si="15"/>
        <v>12.527112999999998</v>
      </c>
      <c r="M24" s="322">
        <f t="shared" si="16"/>
        <v>12.748956000000002</v>
      </c>
      <c r="N24" s="311">
        <f>IF(I24=0," ",I24*0.0241+1.3)</f>
        <v>3.6618000000000004</v>
      </c>
      <c r="O24" s="302">
        <f t="shared" si="8"/>
        <v>2.6731140000000004</v>
      </c>
      <c r="P24" s="311">
        <f>IF(N24=" "," ",I24*0.031+0.86)</f>
        <v>3.8979999999999997</v>
      </c>
      <c r="Q24" s="302">
        <f>IF(N24=" "," ",P24*(1.8*0.82+2.3*0.85)/3.8)</f>
        <v>3.5194836842105262</v>
      </c>
      <c r="R24" s="311">
        <f>IF(N24=" "," ",I24*0.0293+0.48)</f>
        <v>3.3513999999999999</v>
      </c>
      <c r="S24" s="302">
        <f t="shared" si="10"/>
        <v>2.5470639999999998</v>
      </c>
      <c r="T24" s="311">
        <f>IF(N24=" "," ",I24*0.0126+0.02)</f>
        <v>1.2547999999999999</v>
      </c>
      <c r="U24" s="302">
        <f t="shared" si="11"/>
        <v>0.95364799999999994</v>
      </c>
      <c r="V24" s="274">
        <f>0.8*H24/1000</f>
        <v>0.69599999999999995</v>
      </c>
      <c r="W24" s="274">
        <v>3.5</v>
      </c>
      <c r="X24" s="301">
        <f>0.45*W24</f>
        <v>1.575</v>
      </c>
      <c r="Y24" s="301">
        <f t="shared" si="17"/>
        <v>2.2749999999999999</v>
      </c>
      <c r="Z24" s="274">
        <f>1.3*H24/1000</f>
        <v>1.131</v>
      </c>
      <c r="AA24" s="303">
        <v>0.15</v>
      </c>
      <c r="AB24" s="276">
        <f>5*H24/1000</f>
        <v>4.3499999999999996</v>
      </c>
      <c r="AC24" s="311">
        <f>IF($I24=""," ",$I24*0.015+0.18)</f>
        <v>1.65</v>
      </c>
      <c r="AD24" s="311">
        <f>AC24*0.82</f>
        <v>1.3529999999999998</v>
      </c>
      <c r="AE24" s="321">
        <v>23</v>
      </c>
      <c r="AF24" s="321">
        <v>522</v>
      </c>
      <c r="AG24" s="321">
        <v>21</v>
      </c>
      <c r="AH24" s="321">
        <v>26</v>
      </c>
      <c r="AI24" s="612">
        <f t="shared" si="18"/>
        <v>82.229999999999905</v>
      </c>
      <c r="AJ24" s="321">
        <f t="shared" si="19"/>
        <v>157</v>
      </c>
      <c r="AK24" s="610">
        <f>AL24+AM24</f>
        <v>14.26</v>
      </c>
      <c r="AL24" s="610">
        <f>57*AE24/100</f>
        <v>13.11</v>
      </c>
      <c r="AM24" s="610">
        <f>5*AE24/100</f>
        <v>1.1499999999999999</v>
      </c>
      <c r="AN24" s="321"/>
      <c r="AO24" s="321"/>
      <c r="AP24" s="321"/>
      <c r="AQ24" s="612">
        <f>IF(H24="","",50*V24+83*Z24+26*AB24+44*AA24-59*W24-13*P24-28*AZ24)</f>
        <v>-45.341000000000001</v>
      </c>
      <c r="AR24" s="847">
        <f>IF(H24="","",V24/1000*20140+Z24/1000*48600+1100/440*I24)</f>
        <v>313.98403999999999</v>
      </c>
      <c r="AS24" s="612">
        <f t="shared" si="20"/>
        <v>76.899999999999977</v>
      </c>
      <c r="AT24" s="612">
        <f t="shared" si="12"/>
        <v>679</v>
      </c>
      <c r="AU24" s="855">
        <v>0.84</v>
      </c>
      <c r="AV24" s="855">
        <v>0.73</v>
      </c>
      <c r="AW24" s="855">
        <v>0.53</v>
      </c>
      <c r="AX24" s="855">
        <v>0.2</v>
      </c>
      <c r="AY24" s="855">
        <v>0.9</v>
      </c>
      <c r="AZ24" s="303">
        <f>1.5*H24/1000</f>
        <v>1.3049999999999999</v>
      </c>
      <c r="BA24" s="612">
        <f>$BA$17/$H$17*H24*K24/$K$17</f>
        <v>37.583333333333336</v>
      </c>
      <c r="BB24" s="612">
        <f>$BB$17/$H$17*H24*K24/$K$17</f>
        <v>288.75</v>
      </c>
      <c r="BC24" s="381">
        <f t="shared" si="4"/>
        <v>13.853737879999999</v>
      </c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</row>
    <row r="25" spans="1:143" s="4" customFormat="1" ht="12.5" customHeight="1">
      <c r="A25" s="897" t="str">
        <f t="shared" si="7"/>
        <v>Hafer  11% RP DLG 2014</v>
      </c>
      <c r="B25" s="298">
        <f>IF(D25=""," ",COUNTA($D$8:D25))</f>
        <v>18</v>
      </c>
      <c r="C25" s="327"/>
      <c r="D25" s="482" t="s">
        <v>44</v>
      </c>
      <c r="E25" s="620">
        <f t="shared" si="0"/>
        <v>11</v>
      </c>
      <c r="F25" s="319" t="s">
        <v>969</v>
      </c>
      <c r="G25" s="320"/>
      <c r="H25" s="321">
        <v>880</v>
      </c>
      <c r="I25" s="321">
        <v>108</v>
      </c>
      <c r="J25" s="321">
        <f>I25*0.88</f>
        <v>95.04</v>
      </c>
      <c r="K25" s="321">
        <v>97</v>
      </c>
      <c r="L25" s="381">
        <f t="shared" si="15"/>
        <v>11.675204000000001</v>
      </c>
      <c r="M25" s="322">
        <f t="shared" si="16"/>
        <v>11.256732</v>
      </c>
      <c r="N25" s="311">
        <f>IF(I25=0," ",I25*0.0368+0.4)</f>
        <v>4.3744000000000005</v>
      </c>
      <c r="O25" s="302">
        <f>IF(N25=" "," ",N25*0.95)</f>
        <v>4.1556800000000003</v>
      </c>
      <c r="P25" s="311">
        <f>IF(N25=" "," ",I25*0.0365+0.88)</f>
        <v>4.8220000000000001</v>
      </c>
      <c r="Q25" s="302">
        <f>IF(N25=" "," ",P25*(1.6*0.88+2.6*0.82)/4.2)</f>
        <v>4.0642571428571426</v>
      </c>
      <c r="R25" s="311">
        <f>IF(N25=" "," ",I25*0.0326+0.1)</f>
        <v>3.6207999999999996</v>
      </c>
      <c r="S25" s="302">
        <f>IF(N25=" "," ",R25*0.9)</f>
        <v>3.2587199999999998</v>
      </c>
      <c r="T25" s="311">
        <f>IF(N25=" "," ",I25*0.0139-0.03)</f>
        <v>1.4711999999999998</v>
      </c>
      <c r="U25" s="302">
        <f>IF(N25=" "," ",T25*0.77)</f>
        <v>1.1328239999999998</v>
      </c>
      <c r="V25" s="311">
        <v>1.1000000000000001</v>
      </c>
      <c r="W25" s="311">
        <v>3.2</v>
      </c>
      <c r="X25" s="302">
        <f>W25*0.25</f>
        <v>0.8</v>
      </c>
      <c r="Y25" s="302">
        <f t="shared" si="17"/>
        <v>2.08</v>
      </c>
      <c r="Z25" s="311">
        <v>1.1000000000000001</v>
      </c>
      <c r="AA25" s="322">
        <v>0.16</v>
      </c>
      <c r="AB25" s="323">
        <v>4.4000000000000004</v>
      </c>
      <c r="AC25" s="311">
        <f>IF($I25=""," ",$I25*0.0152+0.1)</f>
        <v>1.7416</v>
      </c>
      <c r="AD25" s="311">
        <f>AC25*0.88</f>
        <v>1.532608</v>
      </c>
      <c r="AE25" s="321">
        <v>47</v>
      </c>
      <c r="AF25" s="321">
        <v>392</v>
      </c>
      <c r="AG25" s="321">
        <v>14</v>
      </c>
      <c r="AH25" s="321">
        <v>28</v>
      </c>
      <c r="AI25" s="612">
        <f t="shared" si="18"/>
        <v>83.32000000000005</v>
      </c>
      <c r="AJ25" s="321">
        <f t="shared" si="19"/>
        <v>208</v>
      </c>
      <c r="AK25" s="311">
        <v>14</v>
      </c>
      <c r="AL25" s="311">
        <f>$AL$23*AK25/$AK$23</f>
        <v>12.870967741935484</v>
      </c>
      <c r="AM25" s="311">
        <f>AK25-AL25</f>
        <v>1.129032258064516</v>
      </c>
      <c r="AN25" s="321"/>
      <c r="AO25" s="321"/>
      <c r="AP25" s="321"/>
      <c r="AQ25" s="612">
        <f t="shared" si="1"/>
        <v>-8.3859999999999459</v>
      </c>
      <c r="AR25" s="847">
        <f t="shared" si="2"/>
        <v>345.61400000000003</v>
      </c>
      <c r="AS25" s="612">
        <f t="shared" si="20"/>
        <v>67.639999999999986</v>
      </c>
      <c r="AT25" s="612">
        <f t="shared" si="12"/>
        <v>600</v>
      </c>
      <c r="AU25" s="855">
        <v>0.73</v>
      </c>
      <c r="AV25" s="855">
        <v>0.88</v>
      </c>
      <c r="AW25" s="855">
        <v>0.8</v>
      </c>
      <c r="AX25" s="855">
        <v>0.12</v>
      </c>
      <c r="AY25" s="855">
        <v>0.77</v>
      </c>
      <c r="AZ25" s="322">
        <f>1*H25/1000</f>
        <v>0.88</v>
      </c>
      <c r="BA25" s="612">
        <v>143</v>
      </c>
      <c r="BB25" s="612">
        <v>334</v>
      </c>
      <c r="BC25" s="381">
        <f t="shared" si="4"/>
        <v>9.681414359999998</v>
      </c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7"/>
      <c r="EB25" s="277"/>
      <c r="EC25" s="277"/>
      <c r="ED25" s="277"/>
      <c r="EE25" s="277"/>
      <c r="EF25" s="277"/>
      <c r="EG25" s="277"/>
      <c r="EH25" s="277"/>
      <c r="EI25" s="277"/>
      <c r="EJ25" s="277"/>
      <c r="EK25" s="277"/>
      <c r="EL25" s="277"/>
      <c r="EM25" s="277"/>
    </row>
    <row r="26" spans="1:143" s="3" customFormat="1" ht="12.5" customHeight="1">
      <c r="A26" s="897" t="str">
        <f t="shared" si="7"/>
        <v>eigener Hafer 11% RP Ø 2016</v>
      </c>
      <c r="B26" s="298">
        <f>IF(D26=""," ",COUNTA($D$8:D26))</f>
        <v>19</v>
      </c>
      <c r="C26" s="327"/>
      <c r="D26" s="480" t="s">
        <v>289</v>
      </c>
      <c r="E26" s="619">
        <f t="shared" si="0"/>
        <v>11</v>
      </c>
      <c r="F26" s="306" t="str">
        <f>IF(I26=110.75,"Ø 2016","")</f>
        <v>Ø 2016</v>
      </c>
      <c r="G26" s="305"/>
      <c r="H26" s="91">
        <v>880</v>
      </c>
      <c r="I26" s="91">
        <v>110.75</v>
      </c>
      <c r="J26" s="306">
        <f>IF(I26=0," ",I26*0.88)</f>
        <v>97.46</v>
      </c>
      <c r="K26" s="91">
        <v>102.39</v>
      </c>
      <c r="L26" s="988">
        <f>IF($I26=""," ",I26*0.0205*AV26+0.0398*AW26*AE26+0.0173*AF26+0.016*$AG26+0.0147*AI26)</f>
        <v>11.254695379999998</v>
      </c>
      <c r="M26" s="988">
        <f>IF(I26=""," ",$I26*0.021503+0.032497*$AE26+0.016309*$AF26+0.014701*$AJ26-0.021071*$K26)</f>
        <v>10.66271972</v>
      </c>
      <c r="N26" s="307">
        <f>IF(I26=0," ",(I26/H26*880*0.0368+0.4)/880*H26)</f>
        <v>4.4756</v>
      </c>
      <c r="O26" s="308">
        <f>IF(N26=" "," ",N26*0.95)</f>
        <v>4.2518199999999995</v>
      </c>
      <c r="P26" s="307">
        <f>IF(N26=" "," ",(I26/H26*880*0.0365+0.88)/880*H26)</f>
        <v>4.9223749999999997</v>
      </c>
      <c r="Q26" s="308">
        <f>IF(N26=" "," ",P26*(1.6*0.88+2.6*0.82)/4.2)</f>
        <v>4.1488589285714284</v>
      </c>
      <c r="R26" s="307">
        <f>IF(N26=" "," ",(I26/H26*880*0.0326+0.1)/880*H26)</f>
        <v>3.7104499999999998</v>
      </c>
      <c r="S26" s="308">
        <f>IF(N26=" "," ",R26*0.9)</f>
        <v>3.3394049999999997</v>
      </c>
      <c r="T26" s="307">
        <f>IF(N26=" "," ",(I26/H26*880*0.0139-0.03)/880*H26)</f>
        <v>1.5094249999999998</v>
      </c>
      <c r="U26" s="308">
        <f>IF(N26=" "," ",T26*0.77)</f>
        <v>1.1622572499999999</v>
      </c>
      <c r="V26" s="307">
        <f>IF($I26=0," ",1.093*H26/1000)</f>
        <v>0.96183999999999992</v>
      </c>
      <c r="W26" s="307">
        <f>IF($I26=0," ",3.827*H26/1000)</f>
        <v>3.3677599999999996</v>
      </c>
      <c r="X26" s="308">
        <f>W26*0.25</f>
        <v>0.84193999999999991</v>
      </c>
      <c r="Y26" s="307">
        <f>IF($I26=0," ",Y25*$H26/$H25)</f>
        <v>2.08</v>
      </c>
      <c r="Z26" s="307">
        <f>IF($I26=0," ",Z25*$H26/$H25)</f>
        <v>1.1000000000000001</v>
      </c>
      <c r="AA26" s="309">
        <f>IF($I26=0," ",AA25*$H26/$H25)</f>
        <v>0.16</v>
      </c>
      <c r="AB26" s="310">
        <f>IF($I26=0," ",AB25*$H26/$H25)</f>
        <v>4.4000000000000004</v>
      </c>
      <c r="AC26" s="307">
        <f>IF($I26=""," ",($I26/H26*880*0.0152+0.1)/880*H26)</f>
        <v>1.7834000000000001</v>
      </c>
      <c r="AD26" s="307">
        <f>IF($N26=" "," ",AC26*0.88)</f>
        <v>1.5693920000000001</v>
      </c>
      <c r="AE26" s="92">
        <v>32.409999999999997</v>
      </c>
      <c r="AF26" s="92">
        <v>372.97</v>
      </c>
      <c r="AG26" s="92">
        <v>15.96</v>
      </c>
      <c r="AH26" s="92">
        <v>36.82</v>
      </c>
      <c r="AI26" s="306">
        <f>IF($I26=""," ",(H26-AH26)*AU26-I26*AV26-AE26*AW26-AF26-AG26)</f>
        <v>103.2033999999999</v>
      </c>
      <c r="AJ26" s="306">
        <f>IF($I26=""," ",$H26-($AE26+$AF26+$AH26+$I26+$K26))</f>
        <v>224.65999999999997</v>
      </c>
      <c r="AK26" s="307">
        <f t="shared" ref="AK26:AP26" si="21">IF($I26=0," ",AK25*$H26/$H25)</f>
        <v>14</v>
      </c>
      <c r="AL26" s="307">
        <f t="shared" si="21"/>
        <v>12.870967741935484</v>
      </c>
      <c r="AM26" s="307">
        <f t="shared" si="21"/>
        <v>1.129032258064516</v>
      </c>
      <c r="AN26" s="306">
        <f t="shared" si="21"/>
        <v>0</v>
      </c>
      <c r="AO26" s="306">
        <f t="shared" si="21"/>
        <v>0</v>
      </c>
      <c r="AP26" s="306">
        <f t="shared" si="21"/>
        <v>0</v>
      </c>
      <c r="AQ26" s="306">
        <f t="shared" si="1"/>
        <v>-26.496714999999988</v>
      </c>
      <c r="AR26" s="306">
        <f t="shared" si="2"/>
        <v>349.70645760000002</v>
      </c>
      <c r="AS26" s="306">
        <f>IF($I26=0," ",AX26*K26+AY26*AT26-AF26-AG26)</f>
        <v>83.531899999999979</v>
      </c>
      <c r="AT26" s="92">
        <f t="shared" ref="AT26:AT32" si="22">IF(H26=""," ",H26-I26-AE26-AH26-K26)</f>
        <v>597.63</v>
      </c>
      <c r="AU26" s="853">
        <f>IF($I26=0," ",AU25)</f>
        <v>0.73</v>
      </c>
      <c r="AV26" s="853">
        <f>IF($I26=0," ",AV25)</f>
        <v>0.88</v>
      </c>
      <c r="AW26" s="853">
        <f>IF($I26=0," ",AW25)</f>
        <v>0.8</v>
      </c>
      <c r="AX26" s="853">
        <f>IF($I26=0," ",AX25)</f>
        <v>0.12</v>
      </c>
      <c r="AY26" s="853">
        <f>IF($I26=0," ",AY25)</f>
        <v>0.77</v>
      </c>
      <c r="AZ26" s="309">
        <f>IF($I26=0," ",AZ25*$H26/$H25)</f>
        <v>0.88</v>
      </c>
      <c r="BA26" s="92">
        <f>IF($I26=0," ",BA25*$H26/$H25*K26/K25)</f>
        <v>150.94608247422681</v>
      </c>
      <c r="BB26" s="92">
        <f>IF($I26=0," ",315*$H26/$H25*K26/$K25)</f>
        <v>332.50360824742268</v>
      </c>
      <c r="BC26" s="988">
        <f t="shared" si="4"/>
        <v>7.8618953955999986</v>
      </c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</row>
    <row r="27" spans="1:143" s="4" customFormat="1" ht="12.5" customHeight="1">
      <c r="A27" s="897" t="str">
        <f t="shared" si="7"/>
        <v>Hafer  11% RP Ø Hessen</v>
      </c>
      <c r="B27" s="298">
        <f>IF(D27=""," ",COUNTA($D$8:D27))</f>
        <v>20</v>
      </c>
      <c r="C27" s="327"/>
      <c r="D27" s="481" t="s">
        <v>44</v>
      </c>
      <c r="E27" s="618">
        <f t="shared" si="0"/>
        <v>11</v>
      </c>
      <c r="F27" s="312" t="s">
        <v>549</v>
      </c>
      <c r="G27" s="313" t="s">
        <v>550</v>
      </c>
      <c r="H27" s="314">
        <v>880</v>
      </c>
      <c r="I27" s="314">
        <v>112.1</v>
      </c>
      <c r="J27" s="314">
        <f>I27*0.88</f>
        <v>98.647999999999996</v>
      </c>
      <c r="K27" s="314">
        <v>98.6</v>
      </c>
      <c r="L27" s="317">
        <f>I27*0.0205*AV27+0.0398*AW27*AE27+0.0173*AF27+0.016*$AG27+0.0147*AI27</f>
        <v>11.50815016</v>
      </c>
      <c r="M27" s="317">
        <f>$I27*0.021503+0.032497*$AE27+0.016309*$AF27+0.014701*$AJ27-0.021071*$K27</f>
        <v>11.054343960000001</v>
      </c>
      <c r="N27" s="315">
        <f>IF(I27=0," ",I27*0.0368+0.4)</f>
        <v>4.5252800000000004</v>
      </c>
      <c r="O27" s="316">
        <f>IF(N27=" "," ",N27*0.95)</f>
        <v>4.2990159999999999</v>
      </c>
      <c r="P27" s="315">
        <f>IF(N27=" "," ",I27*0.0365+0.88)</f>
        <v>4.9716499999999995</v>
      </c>
      <c r="Q27" s="316">
        <f>IF(N27=" "," ",P27*(1.6*0.88+2.6*0.82)/4.2)</f>
        <v>4.190390714285714</v>
      </c>
      <c r="R27" s="315">
        <f>IF(N27=" "," ",I27*0.0326+0.1)</f>
        <v>3.7544599999999995</v>
      </c>
      <c r="S27" s="316">
        <f>IF(N27=" "," ",R27*0.9)</f>
        <v>3.3790139999999997</v>
      </c>
      <c r="T27" s="315">
        <f>IF(N27=" "," ",I27*0.0139-0.03)</f>
        <v>1.5281899999999997</v>
      </c>
      <c r="U27" s="316">
        <f>IF(N27=" "," ",T27*0.77)</f>
        <v>1.1767062999999998</v>
      </c>
      <c r="V27" s="315">
        <v>1.1000000000000001</v>
      </c>
      <c r="W27" s="315">
        <v>3.2</v>
      </c>
      <c r="X27" s="316">
        <f>W27*0.25</f>
        <v>0.8</v>
      </c>
      <c r="Y27" s="316">
        <f>W27*0.65</f>
        <v>2.08</v>
      </c>
      <c r="Z27" s="315">
        <v>1.1000000000000001</v>
      </c>
      <c r="AA27" s="317">
        <v>0.16</v>
      </c>
      <c r="AB27" s="318">
        <v>4.4000000000000004</v>
      </c>
      <c r="AC27" s="315">
        <f>IF($I27=""," ",$I27*0.0152+0.1)</f>
        <v>1.80392</v>
      </c>
      <c r="AD27" s="315">
        <f>AC27*0.88</f>
        <v>1.5874496</v>
      </c>
      <c r="AE27" s="314">
        <v>38</v>
      </c>
      <c r="AF27" s="314">
        <v>393.5</v>
      </c>
      <c r="AG27" s="314">
        <v>14</v>
      </c>
      <c r="AH27" s="314">
        <f>33*0.88</f>
        <v>29.04</v>
      </c>
      <c r="AI27" s="314">
        <f>(H27-AH27)*AU27-I27*AV27-AE27*AW27-AF27-AG27</f>
        <v>84.652799999999957</v>
      </c>
      <c r="AJ27" s="314">
        <f>$H27-($AE27+$AF27+$AH27+$I27+$K27)</f>
        <v>208.76</v>
      </c>
      <c r="AK27" s="315">
        <v>14</v>
      </c>
      <c r="AL27" s="315">
        <f>$AL$23*AK27/$AK$23</f>
        <v>12.870967741935484</v>
      </c>
      <c r="AM27" s="315">
        <f>AK27-AL27</f>
        <v>1.129032258064516</v>
      </c>
      <c r="AN27" s="314"/>
      <c r="AO27" s="314"/>
      <c r="AP27" s="314"/>
      <c r="AQ27" s="314">
        <f t="shared" si="1"/>
        <v>-10.331449999999933</v>
      </c>
      <c r="AR27" s="314">
        <f t="shared" si="2"/>
        <v>355.86400000000003</v>
      </c>
      <c r="AS27" s="314">
        <f>AX27*K27+AY27*AT27-AF27-AG27</f>
        <v>68.072200000000009</v>
      </c>
      <c r="AT27" s="314">
        <f t="shared" si="22"/>
        <v>602.26</v>
      </c>
      <c r="AU27" s="854">
        <v>0.73</v>
      </c>
      <c r="AV27" s="854">
        <v>0.88</v>
      </c>
      <c r="AW27" s="854">
        <v>0.8</v>
      </c>
      <c r="AX27" s="854">
        <v>0.12</v>
      </c>
      <c r="AY27" s="854">
        <v>0.77</v>
      </c>
      <c r="AZ27" s="317">
        <f>1*H27/1000</f>
        <v>0.88</v>
      </c>
      <c r="BA27" s="314">
        <f>IF($I27=0," ",BA25*$H27/$H25*K27/K25)</f>
        <v>145.35876288659793</v>
      </c>
      <c r="BB27" s="314">
        <f>IF($I27=0," ",BB25*$H27/$H25*K27/K25)</f>
        <v>339.5092783505155</v>
      </c>
      <c r="BC27" s="317">
        <f t="shared" si="4"/>
        <v>8.8807710907999997</v>
      </c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</row>
    <row r="28" spans="1:143" s="4" customFormat="1" ht="12.5" customHeight="1">
      <c r="A28" s="897" t="str">
        <f t="shared" si="7"/>
        <v>Hirse - Sorghum 10% RP DLG 2014</v>
      </c>
      <c r="B28" s="298">
        <f>IF(D28=""," ",COUNTA($D$8:D28))</f>
        <v>21</v>
      </c>
      <c r="C28" s="327"/>
      <c r="D28" s="482" t="s">
        <v>557</v>
      </c>
      <c r="E28" s="620">
        <f>IF(I28=0," ",ROUND(I28/10,0))</f>
        <v>10</v>
      </c>
      <c r="F28" s="319" t="s">
        <v>969</v>
      </c>
      <c r="G28" s="320"/>
      <c r="H28" s="321">
        <v>880</v>
      </c>
      <c r="I28" s="321">
        <v>97</v>
      </c>
      <c r="J28" s="321">
        <f>I28*0.74</f>
        <v>71.78</v>
      </c>
      <c r="K28" s="321">
        <v>26</v>
      </c>
      <c r="L28" s="381">
        <f>I28*0.0205*AV28+0.0398*AW28*AE28+0.0173*AF28+0.016*$AG28+0.0147*AI28</f>
        <v>13.747688000000002</v>
      </c>
      <c r="M28" s="322">
        <f>$I28*0.021503+0.032497*$AE28+0.016309*$AF28+0.014701*$AJ28-0.021071*$K28</f>
        <v>14.073718000000001</v>
      </c>
      <c r="N28" s="311">
        <f>IF(I28=0," ",I28*0.015+0.68)</f>
        <v>2.1349999999999998</v>
      </c>
      <c r="O28" s="302">
        <f>IF(N28=" "," ",N28*0.8)</f>
        <v>1.708</v>
      </c>
      <c r="P28" s="311">
        <f>IF(N28=" "," ",I28*0.0269+0.82)</f>
        <v>3.4293</v>
      </c>
      <c r="Q28" s="302">
        <f>IF(N28=" "," ",P28*(1.6*0.89+1.7*0.86)/3.3)</f>
        <v>2.9990787272727277</v>
      </c>
      <c r="R28" s="311">
        <f>IF(N28=" "," ",I28*0.0272+0.51)</f>
        <v>3.1483999999999996</v>
      </c>
      <c r="S28" s="302">
        <f>IF(N28=" "," ",R28*0.86)</f>
        <v>2.7076239999999996</v>
      </c>
      <c r="T28" s="311">
        <f>IF(N28=" "," ",I28*0.0094+0.18)</f>
        <v>1.0918000000000001</v>
      </c>
      <c r="U28" s="302">
        <f>IF(N28=" "," ",T28*0.86)</f>
        <v>0.93894800000000012</v>
      </c>
      <c r="V28" s="311">
        <v>0.4</v>
      </c>
      <c r="W28" s="311">
        <v>2.6</v>
      </c>
      <c r="X28" s="302">
        <f>W28*0.3</f>
        <v>0.78</v>
      </c>
      <c r="Y28" s="302">
        <f>W28*0.65</f>
        <v>1.6900000000000002</v>
      </c>
      <c r="Z28" s="311">
        <v>1.1000000000000001</v>
      </c>
      <c r="AA28" s="322">
        <v>0.2</v>
      </c>
      <c r="AB28" s="323">
        <v>3.3</v>
      </c>
      <c r="AC28" s="311">
        <f>IF($I28=""," ",$I28*0.0141+0.32)</f>
        <v>1.6877</v>
      </c>
      <c r="AD28" s="311">
        <f>AC28*0.89</f>
        <v>1.5020530000000001</v>
      </c>
      <c r="AE28" s="321">
        <v>35</v>
      </c>
      <c r="AF28" s="321">
        <v>634</v>
      </c>
      <c r="AG28" s="321">
        <v>11</v>
      </c>
      <c r="AH28" s="321">
        <v>16</v>
      </c>
      <c r="AI28" s="612">
        <f>(H28-AH28)*AU28-I28*AV28-AE28*AW28-AF28-AG28</f>
        <v>23.940000000000055</v>
      </c>
      <c r="AJ28" s="321">
        <f>$H28-($AE28+$AF28+$AH28+$I28+$K28)</f>
        <v>72</v>
      </c>
      <c r="AK28" s="311">
        <f>(AK25-AK23)/2+AK23</f>
        <v>14.378</v>
      </c>
      <c r="AL28" s="311">
        <f>$AL$23*AK28/$AK$23</f>
        <v>13.218483870967743</v>
      </c>
      <c r="AM28" s="311">
        <f>AK28-AL28</f>
        <v>1.1595161290322569</v>
      </c>
      <c r="AN28" s="321"/>
      <c r="AO28" s="321"/>
      <c r="AP28" s="321"/>
      <c r="AQ28" s="612">
        <f t="shared" si="1"/>
        <v>-9.3288999999999724</v>
      </c>
      <c r="AR28" s="847">
        <f t="shared" si="2"/>
        <v>304.01600000000002</v>
      </c>
      <c r="AS28" s="612">
        <f>AX28*K28+AY28*AT28-AF28-AG28</f>
        <v>43.119999999999891</v>
      </c>
      <c r="AT28" s="92">
        <f t="shared" si="22"/>
        <v>706</v>
      </c>
      <c r="AU28" s="855">
        <v>0.88</v>
      </c>
      <c r="AV28" s="855">
        <v>0.74</v>
      </c>
      <c r="AW28" s="855">
        <v>0.56000000000000005</v>
      </c>
      <c r="AX28" s="855">
        <v>0.67</v>
      </c>
      <c r="AY28" s="855">
        <v>0.95</v>
      </c>
      <c r="AZ28" s="322">
        <f>0.7*H28/1000</f>
        <v>0.61599999999999999</v>
      </c>
      <c r="BA28" s="612">
        <v>41</v>
      </c>
      <c r="BB28" s="612">
        <v>183</v>
      </c>
      <c r="BC28" s="381">
        <f t="shared" si="4"/>
        <v>17.926814140000001</v>
      </c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/>
      <c r="EF28" s="277"/>
      <c r="EG28" s="277"/>
      <c r="EH28" s="277"/>
      <c r="EI28" s="277"/>
      <c r="EJ28" s="277"/>
      <c r="EK28" s="277"/>
      <c r="EL28" s="277"/>
      <c r="EM28" s="277"/>
    </row>
    <row r="29" spans="1:143" s="3" customFormat="1" ht="12.5" customHeight="1">
      <c r="A29" s="897" t="str">
        <f t="shared" si="7"/>
        <v xml:space="preserve">eigene Hirse - Sorghum 10% RP </v>
      </c>
      <c r="B29" s="298">
        <f>IF(D29=""," ",COUNTA($D$8:D29))</f>
        <v>22</v>
      </c>
      <c r="C29" s="327"/>
      <c r="D29" s="480" t="s">
        <v>558</v>
      </c>
      <c r="E29" s="619">
        <f>IF(I29=0," ",ROUND(I29/10,0))</f>
        <v>10</v>
      </c>
      <c r="F29" s="304"/>
      <c r="G29" s="305"/>
      <c r="H29" s="91">
        <v>880</v>
      </c>
      <c r="I29" s="91">
        <v>100</v>
      </c>
      <c r="J29" s="306">
        <f>IF(I29=0," ",I29*0.74)</f>
        <v>74</v>
      </c>
      <c r="K29" s="91">
        <v>56</v>
      </c>
      <c r="L29" s="988">
        <f>IF($I29=""," ",I29*0.0205*AV29+0.0398*AW29*AE29+0.0173*AF29+0.016*$AG29+0.0147*AI29)</f>
        <v>13.510816</v>
      </c>
      <c r="M29" s="988">
        <f>IF(I29=""," ",$I29*0.021503+0.032497*$AE29+0.016309*$AF29+0.014701*$AJ29-0.021071*$K29)</f>
        <v>12.747324000000001</v>
      </c>
      <c r="N29" s="307">
        <f>IF(I29=0," ",(I29/H29*880*0.015+0.68)/880*H29)</f>
        <v>2.1800000000000002</v>
      </c>
      <c r="O29" s="308">
        <f>IF(N29=" "," ",N29*0.8)</f>
        <v>1.7440000000000002</v>
      </c>
      <c r="P29" s="307">
        <f>IF(N29=" "," ",(I29/H29*880*0.0269+0.82)/880*H29)</f>
        <v>3.51</v>
      </c>
      <c r="Q29" s="308">
        <f>IF(N29=" "," ",P29*(1.6*0.89+1.7*0.86)/3.3)</f>
        <v>3.0696545454545454</v>
      </c>
      <c r="R29" s="307">
        <f>IF(N29=" "," ",(I29/H29*880*0.0272+0.51)/880*H29)</f>
        <v>3.2299999999999995</v>
      </c>
      <c r="S29" s="308">
        <f>IF(N29=" "," ",R29*0.86)</f>
        <v>2.7777999999999996</v>
      </c>
      <c r="T29" s="307">
        <f>IF(N29=" "," ",(I29/H29*880*0.0094+0.18)/880*H29)</f>
        <v>1.1200000000000001</v>
      </c>
      <c r="U29" s="308">
        <f>IF(N29=" "," ",T29*0.86)</f>
        <v>0.96320000000000006</v>
      </c>
      <c r="V29" s="307">
        <f t="shared" ref="V29:AB29" si="23">IF($I29=0," ",V28*$H29/$H28)</f>
        <v>0.4</v>
      </c>
      <c r="W29" s="307">
        <f t="shared" si="23"/>
        <v>2.6</v>
      </c>
      <c r="X29" s="308">
        <f t="shared" si="23"/>
        <v>0.78</v>
      </c>
      <c r="Y29" s="307">
        <f t="shared" si="23"/>
        <v>1.69</v>
      </c>
      <c r="Z29" s="307">
        <f t="shared" si="23"/>
        <v>1.1000000000000001</v>
      </c>
      <c r="AA29" s="309">
        <f t="shared" si="23"/>
        <v>0.2</v>
      </c>
      <c r="AB29" s="310">
        <f t="shared" si="23"/>
        <v>3.3</v>
      </c>
      <c r="AC29" s="307">
        <f>IF($I29=""," ",($I29/H29*880*0.0141+0.32)/880*H29)</f>
        <v>1.7300000000000002</v>
      </c>
      <c r="AD29" s="307">
        <f>IF($N29=" "," ",AC29*0.89)</f>
        <v>1.5397000000000003</v>
      </c>
      <c r="AE29" s="92">
        <v>26</v>
      </c>
      <c r="AF29" s="92">
        <v>600</v>
      </c>
      <c r="AG29" s="92">
        <v>24</v>
      </c>
      <c r="AH29" s="92">
        <v>20</v>
      </c>
      <c r="AI29" s="306">
        <f>IF($I29=""," ",(H29-AH29)*AU29-I29*AV29-AE29*AW29-AF29-AG29)</f>
        <v>44.240000000000009</v>
      </c>
      <c r="AJ29" s="306">
        <f>IF($I29=""," ",$H29-($AE29+$AF29+$AH29+$I29+$K29))</f>
        <v>78</v>
      </c>
      <c r="AK29" s="307">
        <f t="shared" ref="AK29:AP29" si="24">IF($I29=0," ",AK28*$H29/$H28)</f>
        <v>14.378</v>
      </c>
      <c r="AL29" s="307">
        <f t="shared" si="24"/>
        <v>13.218483870967743</v>
      </c>
      <c r="AM29" s="307">
        <f t="shared" si="24"/>
        <v>1.1595161290322569</v>
      </c>
      <c r="AN29" s="306">
        <f t="shared" si="24"/>
        <v>0</v>
      </c>
      <c r="AO29" s="306">
        <f t="shared" si="24"/>
        <v>0</v>
      </c>
      <c r="AP29" s="306">
        <f t="shared" si="24"/>
        <v>0</v>
      </c>
      <c r="AQ29" s="306">
        <f t="shared" si="1"/>
        <v>-10.377999999999968</v>
      </c>
      <c r="AR29" s="306">
        <f t="shared" si="2"/>
        <v>311.51600000000002</v>
      </c>
      <c r="AS29" s="306">
        <f>IF($I29=0," ",AX29*K29+AY29*AT29-AF29-AG29)</f>
        <v>57.620000000000005</v>
      </c>
      <c r="AT29" s="92">
        <f t="shared" si="22"/>
        <v>678</v>
      </c>
      <c r="AU29" s="853">
        <f>IF($I29=0," ",AU28)</f>
        <v>0.88</v>
      </c>
      <c r="AV29" s="853">
        <f>IF($I29=0," ",AV28)</f>
        <v>0.74</v>
      </c>
      <c r="AW29" s="853">
        <f>IF($I29=0," ",AW28)</f>
        <v>0.56000000000000005</v>
      </c>
      <c r="AX29" s="853">
        <f>IF($I29=0," ",AX28)</f>
        <v>0.67</v>
      </c>
      <c r="AY29" s="853">
        <f>IF($I29=0," ",AY28)</f>
        <v>0.95</v>
      </c>
      <c r="AZ29" s="309">
        <f>IF($I29=0," ",AZ28*$H29/$H28)</f>
        <v>0.61599999999999999</v>
      </c>
      <c r="BA29" s="92">
        <f>IF($I29=0," ",BA28*$H29/$H28*K29/K28)</f>
        <v>88.307692307692307</v>
      </c>
      <c r="BB29" s="92">
        <f>IF($I29=0," ",BB28*$H29/$H28*K29/K28)</f>
        <v>394.15384615384613</v>
      </c>
      <c r="BC29" s="988">
        <f t="shared" si="4"/>
        <v>14.63954652</v>
      </c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77"/>
      <c r="ED29" s="277"/>
      <c r="EE29" s="277"/>
      <c r="EF29" s="277"/>
      <c r="EG29" s="277"/>
      <c r="EH29" s="277"/>
      <c r="EI29" s="277"/>
      <c r="EJ29" s="277"/>
      <c r="EK29" s="277"/>
      <c r="EL29" s="277"/>
      <c r="EM29" s="277"/>
    </row>
    <row r="30" spans="1:143" s="277" customFormat="1" ht="12.5" customHeight="1">
      <c r="A30" s="897" t="str">
        <f t="shared" si="7"/>
        <v>Mais, Körner 9% RP DLG 2014</v>
      </c>
      <c r="B30" s="298">
        <f>IF(D30=""," ",COUNTA($D$8:D30))</f>
        <v>23</v>
      </c>
      <c r="C30" s="327"/>
      <c r="D30" s="482" t="s">
        <v>972</v>
      </c>
      <c r="E30" s="620">
        <f t="shared" si="0"/>
        <v>9</v>
      </c>
      <c r="F30" s="319" t="s">
        <v>969</v>
      </c>
      <c r="G30" s="320"/>
      <c r="H30" s="321">
        <v>880</v>
      </c>
      <c r="I30" s="321">
        <v>92</v>
      </c>
      <c r="J30" s="321">
        <f>I30*0.82</f>
        <v>75.44</v>
      </c>
      <c r="K30" s="321">
        <v>23</v>
      </c>
      <c r="L30" s="381">
        <f>IF($I30=""," ",I30*0.0205*AV30+0.0398*AW30*AE30+0.0173*AF30+0.016*$AG30+0.0147*AI30)</f>
        <v>14.186431199999998</v>
      </c>
      <c r="M30" s="322">
        <f>$I30*0.021503+0.032497*$AE30+0.016309*$AF30+0.014701*$AJ30-0.021071*$K30</f>
        <v>14.207877039999998</v>
      </c>
      <c r="N30" s="311">
        <f>IF(I30=0," ",I30*0.0186+0.85)</f>
        <v>2.5611999999999999</v>
      </c>
      <c r="O30" s="302">
        <f>IF(N30=" "," ",N30*0.85)</f>
        <v>2.1770199999999997</v>
      </c>
      <c r="P30" s="311">
        <f>IF(N30=" "," ",I30*0.0299+1.01)</f>
        <v>3.7607999999999997</v>
      </c>
      <c r="Q30" s="302">
        <f>IF(N30=" "," ",P30*(1.8*0.85+1.8*0.86)/3.6)</f>
        <v>3.2154839999999996</v>
      </c>
      <c r="R30" s="311">
        <f>IF(N30=" "," ",I30*0.032+0.31)</f>
        <v>3.254</v>
      </c>
      <c r="S30" s="302">
        <f>IF(N30=" "," ",R30*0.83)</f>
        <v>2.7008199999999998</v>
      </c>
      <c r="T30" s="311">
        <f>IF(N30=" "," ",I30*0.0047+0.24)</f>
        <v>0.6724</v>
      </c>
      <c r="U30" s="302">
        <f>IF(N30=" "," ",T30*0.82)</f>
        <v>0.55136799999999997</v>
      </c>
      <c r="V30" s="311">
        <v>0.4</v>
      </c>
      <c r="W30" s="311">
        <v>2.8</v>
      </c>
      <c r="X30" s="302">
        <f>W30*0.2</f>
        <v>0.55999999999999994</v>
      </c>
      <c r="Y30" s="302">
        <f>W30*0.65</f>
        <v>1.8199999999999998</v>
      </c>
      <c r="Z30" s="311">
        <v>1.1000000000000001</v>
      </c>
      <c r="AA30" s="322">
        <v>0.2</v>
      </c>
      <c r="AB30" s="323">
        <v>3</v>
      </c>
      <c r="AC30" s="311">
        <f>IF($I30=""," ",$I30*0.0159+0.37)</f>
        <v>1.8328000000000002</v>
      </c>
      <c r="AD30" s="311">
        <f>AC30*0.85</f>
        <v>1.5578800000000002</v>
      </c>
      <c r="AE30" s="321">
        <v>40</v>
      </c>
      <c r="AF30" s="321">
        <v>607</v>
      </c>
      <c r="AG30" s="321">
        <v>18</v>
      </c>
      <c r="AH30" s="321">
        <f>17*0.88</f>
        <v>14.96</v>
      </c>
      <c r="AI30" s="612">
        <f>(H30-AH30)*AU30-I30*AV30-AE30*AW30-AF30-AG30</f>
        <v>50.096000000000004</v>
      </c>
      <c r="AJ30" s="321">
        <f>$H30-($AE30+$AF30+$AH30+$I30+$K30)</f>
        <v>103.03999999999996</v>
      </c>
      <c r="AK30" s="311">
        <f>56*AE30/100</f>
        <v>22.4</v>
      </c>
      <c r="AL30" s="311">
        <f>$AL$23*AK30/$AK$23</f>
        <v>20.593548387096774</v>
      </c>
      <c r="AM30" s="311">
        <f>AK30-AL30</f>
        <v>1.8064516129032242</v>
      </c>
      <c r="AN30" s="321"/>
      <c r="AO30" s="321"/>
      <c r="AP30" s="321"/>
      <c r="AQ30" s="612">
        <f t="shared" si="1"/>
        <v>-28.310399999999966</v>
      </c>
      <c r="AR30" s="847">
        <f t="shared" si="2"/>
        <v>291.51600000000002</v>
      </c>
      <c r="AS30" s="612">
        <f>AX30*K30+AY30*AT30-AF30-AG30</f>
        <v>54.167599999999993</v>
      </c>
      <c r="AT30" s="612">
        <f t="shared" si="22"/>
        <v>710.04</v>
      </c>
      <c r="AU30" s="855">
        <v>0.9</v>
      </c>
      <c r="AV30" s="855">
        <v>0.82</v>
      </c>
      <c r="AW30" s="855">
        <v>0.7</v>
      </c>
      <c r="AX30" s="855">
        <v>0.51</v>
      </c>
      <c r="AY30" s="855">
        <v>0.94</v>
      </c>
      <c r="AZ30" s="322">
        <f>0.5*H30/1000</f>
        <v>0.44</v>
      </c>
      <c r="BA30" s="612">
        <v>33</v>
      </c>
      <c r="BB30" s="612">
        <v>136</v>
      </c>
      <c r="BC30" s="381">
        <f t="shared" si="4"/>
        <v>18.157750239199999</v>
      </c>
    </row>
    <row r="31" spans="1:143" s="3" customFormat="1" ht="12.5" customHeight="1">
      <c r="A31" s="897" t="str">
        <f t="shared" si="7"/>
        <v xml:space="preserve">eigener Mais, Körner </v>
      </c>
      <c r="B31" s="298">
        <f>IF(D31=""," ",COUNTA($D$8:D31))</f>
        <v>24</v>
      </c>
      <c r="C31" s="327"/>
      <c r="D31" s="480" t="s">
        <v>973</v>
      </c>
      <c r="E31" s="619" t="str">
        <f t="shared" si="0"/>
        <v xml:space="preserve"> </v>
      </c>
      <c r="F31" s="304"/>
      <c r="G31" s="305"/>
      <c r="H31" s="91"/>
      <c r="I31" s="91"/>
      <c r="J31" s="306" t="str">
        <f>IF(I31=0," ",I31*0.82)</f>
        <v xml:space="preserve"> </v>
      </c>
      <c r="K31" s="91"/>
      <c r="L31" s="988" t="str">
        <f>IF($I31=""," ",I31*0.0205*AV31+0.0398*AW31*AE31+0.0173*AF31+0.016*$AG31+0.0147*AI31)</f>
        <v xml:space="preserve"> </v>
      </c>
      <c r="M31" s="988" t="str">
        <f>IF(I31=""," ",$I31*0.021503+0.032497*$AE31+0.016309*$AF31+0.014701*$AJ31-0.021071*$K31)</f>
        <v xml:space="preserve"> </v>
      </c>
      <c r="N31" s="307" t="str">
        <f>IF(I31=0," ",(I31/H31*880*0.0186+0.85)/880*H31)</f>
        <v xml:space="preserve"> </v>
      </c>
      <c r="O31" s="308" t="str">
        <f>IF(N31=" "," ",N31*0.85)</f>
        <v xml:space="preserve"> </v>
      </c>
      <c r="P31" s="307" t="str">
        <f>IF(N31=" "," ",(I31/H31*880*0.0299+1.01)/880*H31)</f>
        <v xml:space="preserve"> </v>
      </c>
      <c r="Q31" s="308" t="str">
        <f>IF(N31=" "," ",P31*(1.8*0.85+1.8*0.86)/3.6)</f>
        <v xml:space="preserve"> </v>
      </c>
      <c r="R31" s="307" t="str">
        <f>IF(N31=" "," ",(I31/H31*880*0.032+0.31)/880*H31)</f>
        <v xml:space="preserve"> </v>
      </c>
      <c r="S31" s="308" t="str">
        <f>IF(N31=" "," ",R31*0.83)</f>
        <v xml:space="preserve"> </v>
      </c>
      <c r="T31" s="307" t="str">
        <f>IF(N31=" "," ",(I31/H31*880*0.0047+0.24)/880*H31)</f>
        <v xml:space="preserve"> </v>
      </c>
      <c r="U31" s="308" t="str">
        <f>IF(N31=" "," ",T31*0.82)</f>
        <v xml:space="preserve"> </v>
      </c>
      <c r="V31" s="307" t="str">
        <f t="shared" ref="V31:AB31" si="25">IF($I31=0," ",V30*$H31/$H30)</f>
        <v xml:space="preserve"> </v>
      </c>
      <c r="W31" s="307" t="str">
        <f t="shared" si="25"/>
        <v xml:space="preserve"> </v>
      </c>
      <c r="X31" s="308" t="str">
        <f t="shared" si="25"/>
        <v xml:space="preserve"> </v>
      </c>
      <c r="Y31" s="307" t="str">
        <f t="shared" si="25"/>
        <v xml:space="preserve"> </v>
      </c>
      <c r="Z31" s="307" t="str">
        <f t="shared" si="25"/>
        <v xml:space="preserve"> </v>
      </c>
      <c r="AA31" s="309" t="str">
        <f t="shared" si="25"/>
        <v xml:space="preserve"> </v>
      </c>
      <c r="AB31" s="310" t="str">
        <f t="shared" si="25"/>
        <v xml:space="preserve"> </v>
      </c>
      <c r="AC31" s="307" t="str">
        <f>IF($I31=""," ",($I31/H31*880*0.0159+0.37)/880*H31)</f>
        <v xml:space="preserve"> </v>
      </c>
      <c r="AD31" s="307" t="str">
        <f>IF($N31=" "," ",AC31*0.85)</f>
        <v xml:space="preserve"> </v>
      </c>
      <c r="AE31" s="92"/>
      <c r="AF31" s="92"/>
      <c r="AG31" s="92"/>
      <c r="AH31" s="92"/>
      <c r="AI31" s="306" t="str">
        <f>IF($I31=""," ",(H31-AH31)*AU31-I31*AV31-AE31*AW31-AF31-AG31)</f>
        <v xml:space="preserve"> </v>
      </c>
      <c r="AJ31" s="306" t="str">
        <f>IF($I31=""," ",$H31-($AE31+$AF31+$AH31+$I31+$K31))</f>
        <v xml:space="preserve"> </v>
      </c>
      <c r="AK31" s="307" t="str">
        <f t="shared" ref="AK31:AP31" si="26">IF($I31=0," ",AK30*$H31/$H30)</f>
        <v xml:space="preserve"> </v>
      </c>
      <c r="AL31" s="307" t="str">
        <f t="shared" si="26"/>
        <v xml:space="preserve"> </v>
      </c>
      <c r="AM31" s="307" t="str">
        <f t="shared" si="26"/>
        <v xml:space="preserve"> </v>
      </c>
      <c r="AN31" s="306" t="str">
        <f t="shared" si="26"/>
        <v xml:space="preserve"> </v>
      </c>
      <c r="AO31" s="306" t="str">
        <f t="shared" si="26"/>
        <v xml:space="preserve"> </v>
      </c>
      <c r="AP31" s="306" t="str">
        <f t="shared" si="26"/>
        <v xml:space="preserve"> </v>
      </c>
      <c r="AQ31" s="306" t="str">
        <f t="shared" si="1"/>
        <v/>
      </c>
      <c r="AR31" s="306" t="str">
        <f t="shared" si="2"/>
        <v/>
      </c>
      <c r="AS31" s="306" t="str">
        <f>IF($I31=0," ",AX31*K31+AY31*AT31-AF31-AG31)</f>
        <v xml:space="preserve"> </v>
      </c>
      <c r="AT31" s="92" t="str">
        <f t="shared" si="22"/>
        <v xml:space="preserve"> </v>
      </c>
      <c r="AU31" s="853" t="str">
        <f>IF($I31=0," ",AU30)</f>
        <v xml:space="preserve"> </v>
      </c>
      <c r="AV31" s="853" t="str">
        <f>IF($I31=0," ",AV30)</f>
        <v xml:space="preserve"> </v>
      </c>
      <c r="AW31" s="853" t="str">
        <f>IF($I31=0," ",AW30)</f>
        <v xml:space="preserve"> </v>
      </c>
      <c r="AX31" s="853" t="str">
        <f>IF($I31=0," ",AX30)</f>
        <v xml:space="preserve"> </v>
      </c>
      <c r="AY31" s="853" t="str">
        <f>IF($I31=0," ",AY30)</f>
        <v xml:space="preserve"> </v>
      </c>
      <c r="AZ31" s="309" t="str">
        <f>IF($I31=0," ",AZ30*$H31/$H30)</f>
        <v xml:space="preserve"> </v>
      </c>
      <c r="BA31" s="92" t="str">
        <f>IF($I31=0," ",BA30*$H31/$H30*K31/K30)</f>
        <v xml:space="preserve"> </v>
      </c>
      <c r="BB31" s="92" t="str">
        <f>IF($I31=0," ",BB30*$H31/$H30*K31/K30)</f>
        <v xml:space="preserve"> </v>
      </c>
      <c r="BC31" s="988" t="str">
        <f t="shared" si="4"/>
        <v/>
      </c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</row>
    <row r="32" spans="1:143" s="384" customFormat="1" ht="12.5" customHeight="1">
      <c r="A32" s="1515" t="str">
        <f t="shared" si="7"/>
        <v>Mais, Körner siliert Ganzkorn 7% RP DLG 2014</v>
      </c>
      <c r="B32" s="643">
        <f>IF(D32=""," ",COUNTA($D$8:D32))</f>
        <v>25</v>
      </c>
      <c r="C32" s="375"/>
      <c r="D32" s="1515" t="s">
        <v>974</v>
      </c>
      <c r="E32" s="1525">
        <f t="shared" si="0"/>
        <v>7</v>
      </c>
      <c r="F32" s="1526" t="s">
        <v>969</v>
      </c>
      <c r="G32" s="1527"/>
      <c r="H32" s="1528">
        <v>650</v>
      </c>
      <c r="I32" s="1528">
        <v>65</v>
      </c>
      <c r="J32" s="612">
        <f>I32*0.89</f>
        <v>57.85</v>
      </c>
      <c r="K32" s="1528">
        <v>16</v>
      </c>
      <c r="L32" s="381">
        <f>I32*0.0205*AV32+0.0398*AW32*AE32+0.0173*AF32+0.016*$AG32+0.0147*AI32</f>
        <v>10.723715000000002</v>
      </c>
      <c r="M32" s="611">
        <f>$I32*0.021503+0.032497*$AE32+0.016309*$AF32+0.014701*$AJ32-0.021071*$K32</f>
        <v>10.526142</v>
      </c>
      <c r="N32" s="610">
        <f>IF(I32=0," ",I32*0.0186+0.85)</f>
        <v>2.0589999999999997</v>
      </c>
      <c r="O32" s="1529">
        <f>IF(N32=" "," ",N32*0.85)</f>
        <v>1.7501499999999997</v>
      </c>
      <c r="P32" s="610">
        <f>IF(N32=" "," ",I32*0.0299+1.01)</f>
        <v>2.9535</v>
      </c>
      <c r="Q32" s="1529">
        <f>IF(N32=" "," ",P32*(1.8*0.85+1.8*0.86)/3.6)</f>
        <v>2.5252425000000001</v>
      </c>
      <c r="R32" s="610">
        <f>IF(N32=" "," ",I32*0.032+0.31)</f>
        <v>2.39</v>
      </c>
      <c r="S32" s="1529">
        <f>IF(N32=" "," ",R32*0.83)</f>
        <v>1.9837</v>
      </c>
      <c r="T32" s="610">
        <f>IF(N32=" "," ",I32*0.0047+0.24)</f>
        <v>0.54549999999999998</v>
      </c>
      <c r="U32" s="1529">
        <f>IF(N32=" "," ",T32*0.82)</f>
        <v>0.44730999999999999</v>
      </c>
      <c r="V32" s="610">
        <v>0.3</v>
      </c>
      <c r="W32" s="610">
        <v>2.1</v>
      </c>
      <c r="X32" s="1529">
        <f>W32*0.5</f>
        <v>1.05</v>
      </c>
      <c r="Y32" s="1529">
        <f>W32*0.65</f>
        <v>1.3650000000000002</v>
      </c>
      <c r="Z32" s="610">
        <v>0.8</v>
      </c>
      <c r="AA32" s="611">
        <v>0.1</v>
      </c>
      <c r="AB32" s="1530">
        <v>3</v>
      </c>
      <c r="AC32" s="610">
        <f>IF($I32=""," ",$I32*0.0159+0.37)</f>
        <v>1.4035000000000002</v>
      </c>
      <c r="AD32" s="610">
        <f>AC32*0.88</f>
        <v>1.2350800000000002</v>
      </c>
      <c r="AE32" s="612">
        <v>29</v>
      </c>
      <c r="AF32" s="612">
        <v>455</v>
      </c>
      <c r="AG32" s="612">
        <v>3</v>
      </c>
      <c r="AH32" s="612">
        <v>10</v>
      </c>
      <c r="AI32" s="612">
        <f>(H32-AH32)*AU32-I32*AV32-AE32*AW32-AF32-AG32</f>
        <v>51.200000000000045</v>
      </c>
      <c r="AJ32" s="612">
        <f>$H32-($AE32+$AF32+$AH32+$I32+$K32)</f>
        <v>75</v>
      </c>
      <c r="AK32" s="610">
        <f>56*AE32/100</f>
        <v>16.239999999999998</v>
      </c>
      <c r="AL32" s="610">
        <f>$AL$23*AK32/$AK$23</f>
        <v>14.930322580645161</v>
      </c>
      <c r="AM32" s="610">
        <f>AK32-AL32</f>
        <v>1.3096774193548377</v>
      </c>
      <c r="AN32" s="612"/>
      <c r="AO32" s="612"/>
      <c r="AP32" s="612"/>
      <c r="AQ32" s="612">
        <f>IF(H32="","",50*V32+83*Z32+26*AB32+44*AA32-59*W32-13*P32-28*AZ32)</f>
        <v>-7.5954999999999924</v>
      </c>
      <c r="AR32" s="847">
        <f>IF(H32="","",V32/1000*20140+Z32/1000*48600+1100/440*I32)</f>
        <v>207.422</v>
      </c>
      <c r="AS32" s="612">
        <f>AX32*K32+AY32*AT32-AF32-AG32</f>
        <v>48.360000000000014</v>
      </c>
      <c r="AT32" s="612">
        <f t="shared" si="22"/>
        <v>530</v>
      </c>
      <c r="AU32" s="1531">
        <v>0.92</v>
      </c>
      <c r="AV32" s="1531">
        <v>0.89</v>
      </c>
      <c r="AW32" s="1531">
        <v>0.75</v>
      </c>
      <c r="AX32" s="1531">
        <v>0.51</v>
      </c>
      <c r="AY32" s="1531">
        <v>0.94</v>
      </c>
      <c r="AZ32" s="611">
        <f>0.5*H32/1000</f>
        <v>0.32500000000000001</v>
      </c>
      <c r="BA32" s="612">
        <v>21</v>
      </c>
      <c r="BB32" s="612">
        <v>131</v>
      </c>
      <c r="BC32" s="381">
        <f t="shared" si="4"/>
        <v>13.62808366</v>
      </c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3"/>
      <c r="DG32" s="383"/>
      <c r="DH32" s="383"/>
      <c r="DI32" s="383"/>
      <c r="DJ32" s="383"/>
      <c r="DK32" s="383"/>
      <c r="DL32" s="383"/>
      <c r="DM32" s="383"/>
      <c r="DN32" s="383"/>
      <c r="DO32" s="383"/>
      <c r="DP32" s="383"/>
      <c r="DQ32" s="383"/>
      <c r="DR32" s="383"/>
      <c r="DS32" s="383"/>
      <c r="DT32" s="383"/>
      <c r="DU32" s="383"/>
      <c r="DV32" s="383"/>
      <c r="DW32" s="383"/>
      <c r="DX32" s="383"/>
      <c r="DY32" s="383"/>
      <c r="DZ32" s="383"/>
      <c r="EA32" s="383"/>
      <c r="EB32" s="383"/>
      <c r="EC32" s="383"/>
      <c r="ED32" s="383"/>
      <c r="EE32" s="383"/>
      <c r="EF32" s="383"/>
      <c r="EG32" s="383"/>
      <c r="EH32" s="383"/>
      <c r="EI32" s="383"/>
      <c r="EJ32" s="383"/>
      <c r="EK32" s="383"/>
      <c r="EL32" s="383"/>
      <c r="EM32" s="383"/>
    </row>
    <row r="33" spans="1:143" s="384" customFormat="1" ht="12.5" customHeight="1">
      <c r="A33" s="1515" t="str">
        <f t="shared" si="7"/>
        <v>Mais, Körner siliert geschrotet 6% RP DLG 2014</v>
      </c>
      <c r="B33" s="643">
        <f>IF(D33=""," ",COUNTA($D$8:D33))</f>
        <v>26</v>
      </c>
      <c r="C33" s="375"/>
      <c r="D33" s="1515" t="s">
        <v>975</v>
      </c>
      <c r="E33" s="1525">
        <f t="shared" si="0"/>
        <v>6</v>
      </c>
      <c r="F33" s="1526" t="s">
        <v>969</v>
      </c>
      <c r="G33" s="1527"/>
      <c r="H33" s="1528">
        <v>650</v>
      </c>
      <c r="I33" s="1528">
        <v>60</v>
      </c>
      <c r="J33" s="612">
        <f>I33*0.9</f>
        <v>54</v>
      </c>
      <c r="K33" s="1528">
        <v>14</v>
      </c>
      <c r="L33" s="381">
        <f>I33*0.0205*AV33+0.0398*AW33*AE33+0.0173*AF33+0.016*$AG33+0.0147*AI33</f>
        <v>10.964799999999999</v>
      </c>
      <c r="M33" s="611">
        <f>$I33*0.021503+0.032497*$AE33+0.016309*$AF33+0.014701*$AJ33-0.021071*$K33</f>
        <v>10.58962</v>
      </c>
      <c r="N33" s="610">
        <f>IF(I33=0," ",I33*0.0186+0.85)</f>
        <v>1.9659999999999997</v>
      </c>
      <c r="O33" s="1529">
        <f>IF(N33=" "," ",N33*0.7)</f>
        <v>1.3761999999999996</v>
      </c>
      <c r="P33" s="610">
        <f>IF(N33=" "," ",I33*0.0299+1.01)</f>
        <v>2.8040000000000003</v>
      </c>
      <c r="Q33" s="1529">
        <f>IF(N33=" "," ",P33*(1.3*0.88+1.3*0.85)/2.6)</f>
        <v>2.4254600000000002</v>
      </c>
      <c r="R33" s="610">
        <f>IF(N33=" "," ",I33*0.032+0.31)</f>
        <v>2.23</v>
      </c>
      <c r="S33" s="1529">
        <f>IF(N33=" "," ",R33*0.85)</f>
        <v>1.8955</v>
      </c>
      <c r="T33" s="610">
        <f>IF(N33=" "," ",I33*0.0047+0.24)</f>
        <v>0.52200000000000002</v>
      </c>
      <c r="U33" s="1529">
        <f>IF(N33=" "," ",T33*0.71)</f>
        <v>0.37062</v>
      </c>
      <c r="V33" s="610">
        <v>0.3</v>
      </c>
      <c r="W33" s="610">
        <v>2.1</v>
      </c>
      <c r="X33" s="1529">
        <f>W33*0.5</f>
        <v>1.05</v>
      </c>
      <c r="Y33" s="1529">
        <f>W33*0.65</f>
        <v>1.3650000000000002</v>
      </c>
      <c r="Z33" s="610">
        <v>0.8</v>
      </c>
      <c r="AA33" s="611">
        <v>0.1</v>
      </c>
      <c r="AB33" s="1530">
        <v>3</v>
      </c>
      <c r="AC33" s="610">
        <f>IF($I33=""," ",$I33*0.0159+0.37)</f>
        <v>1.3240000000000001</v>
      </c>
      <c r="AD33" s="610">
        <f>AC33*0.88</f>
        <v>1.1651200000000002</v>
      </c>
      <c r="AE33" s="612">
        <v>31</v>
      </c>
      <c r="AF33" s="612">
        <v>449</v>
      </c>
      <c r="AG33" s="612">
        <v>14</v>
      </c>
      <c r="AH33" s="612">
        <v>10</v>
      </c>
      <c r="AI33" s="612">
        <f>(H33-AH33)*AU33-I33*AV33-AE33*AW33-AF33-AG33</f>
        <v>59.799999999999955</v>
      </c>
      <c r="AJ33" s="612">
        <f>$H33-($AE33+$AF33+$AH33+$I33+$K33)</f>
        <v>86</v>
      </c>
      <c r="AK33" s="610">
        <f>56*AE33/100</f>
        <v>17.36</v>
      </c>
      <c r="AL33" s="610">
        <f>$AL$23*AK33/$AK$23</f>
        <v>15.96</v>
      </c>
      <c r="AM33" s="610">
        <f>AK33-AL33</f>
        <v>1.3999999999999986</v>
      </c>
      <c r="AN33" s="612"/>
      <c r="AO33" s="612"/>
      <c r="AP33" s="612"/>
      <c r="AQ33" s="612">
        <f>IF(H33="","",50*V33+83*Z33+26*AB33+44*AA33-59*W33-13*P33-28*AZ33)</f>
        <v>-5.6519999999999992</v>
      </c>
      <c r="AR33" s="847">
        <f>IF(H33="","",V33/1000*20140+Z33/1000*48600+1100/440*I33)</f>
        <v>194.922</v>
      </c>
      <c r="AS33" s="612">
        <f>AX33*K33+AY33*AT33-AF33-AG33</f>
        <v>47.039999999999964</v>
      </c>
      <c r="AT33" s="612">
        <f>IF(H33=""," ",H33-I33-AE33-AH33-K33)</f>
        <v>535</v>
      </c>
      <c r="AU33" s="1531">
        <v>0.94</v>
      </c>
      <c r="AV33" s="1531">
        <v>0.9</v>
      </c>
      <c r="AW33" s="1531">
        <v>0.8</v>
      </c>
      <c r="AX33" s="1531">
        <v>0.51</v>
      </c>
      <c r="AY33" s="1531">
        <v>0.94</v>
      </c>
      <c r="AZ33" s="611">
        <f>0.5*H33/1000</f>
        <v>0.32500000000000001</v>
      </c>
      <c r="BA33" s="612">
        <v>21</v>
      </c>
      <c r="BB33" s="612">
        <v>131</v>
      </c>
      <c r="BC33" s="381">
        <f t="shared" si="4"/>
        <v>13.916422599999999</v>
      </c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W33" s="383"/>
      <c r="BX33" s="383"/>
      <c r="BY33" s="383"/>
      <c r="BZ33" s="383"/>
      <c r="CA33" s="383"/>
      <c r="CB33" s="383"/>
      <c r="CC33" s="383"/>
      <c r="CD33" s="383"/>
      <c r="CE33" s="383"/>
      <c r="CF33" s="383"/>
      <c r="CG33" s="383"/>
      <c r="CH33" s="383"/>
      <c r="CI33" s="383"/>
      <c r="CJ33" s="383"/>
      <c r="CK33" s="383"/>
      <c r="CL33" s="383"/>
      <c r="CM33" s="383"/>
      <c r="CN33" s="383"/>
      <c r="CO33" s="383"/>
      <c r="CP33" s="383"/>
      <c r="CQ33" s="383"/>
      <c r="CR33" s="383"/>
      <c r="CS33" s="383"/>
      <c r="CT33" s="383"/>
      <c r="CU33" s="383"/>
      <c r="CV33" s="383"/>
      <c r="CW33" s="383"/>
      <c r="CX33" s="383"/>
      <c r="CY33" s="383"/>
      <c r="CZ33" s="383"/>
      <c r="DA33" s="383"/>
      <c r="DB33" s="383"/>
      <c r="DC33" s="383"/>
      <c r="DD33" s="383"/>
      <c r="DE33" s="383"/>
      <c r="DF33" s="383"/>
      <c r="DG33" s="383"/>
      <c r="DH33" s="383"/>
      <c r="DI33" s="383"/>
      <c r="DJ33" s="383"/>
      <c r="DK33" s="383"/>
      <c r="DL33" s="383"/>
      <c r="DM33" s="383"/>
      <c r="DN33" s="383"/>
      <c r="DO33" s="383"/>
      <c r="DP33" s="383"/>
      <c r="DQ33" s="383"/>
      <c r="DR33" s="383"/>
      <c r="DS33" s="383"/>
      <c r="DT33" s="383"/>
      <c r="DU33" s="383"/>
      <c r="DV33" s="383"/>
      <c r="DW33" s="383"/>
      <c r="DX33" s="383"/>
      <c r="DY33" s="383"/>
      <c r="DZ33" s="383"/>
      <c r="EA33" s="383"/>
      <c r="EB33" s="383"/>
      <c r="EC33" s="383"/>
      <c r="ED33" s="383"/>
      <c r="EE33" s="383"/>
      <c r="EF33" s="383"/>
      <c r="EG33" s="383"/>
      <c r="EH33" s="383"/>
      <c r="EI33" s="383"/>
      <c r="EJ33" s="383"/>
      <c r="EK33" s="383"/>
      <c r="EL33" s="383"/>
      <c r="EM33" s="383"/>
    </row>
    <row r="34" spans="1:143" s="384" customFormat="1" ht="12.5" customHeight="1">
      <c r="A34" s="1515" t="str">
        <f>IF(E34=" ",D34&amp;" "&amp;F34,D34&amp;" "&amp;E34&amp;"% RP "&amp;F34)</f>
        <v>Mais, siliert  3% RP DLG 2014</v>
      </c>
      <c r="B34" s="643">
        <f>IF(D34=""," ",COUNTA($D$8:D34))</f>
        <v>27</v>
      </c>
      <c r="C34" s="375"/>
      <c r="D34" s="1515" t="s">
        <v>996</v>
      </c>
      <c r="E34" s="656">
        <f>IF(I34=0," ",ROUND(I34/10,0))</f>
        <v>3</v>
      </c>
      <c r="F34" s="376" t="s">
        <v>969</v>
      </c>
      <c r="G34" s="377"/>
      <c r="H34" s="378">
        <v>350</v>
      </c>
      <c r="I34" s="378">
        <v>30</v>
      </c>
      <c r="J34" s="378">
        <f>I34*0.59</f>
        <v>17.7</v>
      </c>
      <c r="K34" s="378">
        <v>56</v>
      </c>
      <c r="L34" s="381">
        <f>I34*0.0205*AV34+0.0398*AW34*AE34+0.0173*AF34+0.016*$AG34+0.0147*AI34</f>
        <v>3.7464999999999997</v>
      </c>
      <c r="M34" s="611">
        <f>$I34*0.021503+0.032497*$AE34+0.016309*$AF34+0.014701*$AJ34-0.021071*$K34</f>
        <v>3.5227560000000002</v>
      </c>
      <c r="N34" s="379">
        <f>IF(I34=0," ",(I34/H34*550*0.0171+0.51)/550*H34)</f>
        <v>0.8375454545454547</v>
      </c>
      <c r="O34" s="380">
        <f>IF(N34=" "," ",N34*0.73)</f>
        <v>0.61140818181818191</v>
      </c>
      <c r="P34" s="379">
        <f>IF(N34=" "," ",(I34/H34*550*0.0215+1.04)/550*H34)</f>
        <v>1.3068181818181819</v>
      </c>
      <c r="Q34" s="380">
        <f>IF(N34=" "," ",P34*(0.92*1.3+0.9*0.88)/2.1)</f>
        <v>1.2371212121212123</v>
      </c>
      <c r="R34" s="379">
        <f>IF(N34=" "," ",(I34/H34*550*0.0301+0.28)/550*H34)</f>
        <v>1.0811818181818182</v>
      </c>
      <c r="S34" s="380">
        <f>IF(N34=" "," ",R34*0.88)</f>
        <v>0.95144000000000006</v>
      </c>
      <c r="T34" s="379">
        <f>IF(N34=" "," ",0.2)</f>
        <v>0.2</v>
      </c>
      <c r="U34" s="380">
        <f>IF(N34=" "," ",T34*0.76)</f>
        <v>0.15200000000000002</v>
      </c>
      <c r="V34" s="379">
        <v>0.9</v>
      </c>
      <c r="W34" s="379">
        <v>0.8</v>
      </c>
      <c r="X34" s="658">
        <f>W34*55%</f>
        <v>0.44000000000000006</v>
      </c>
      <c r="Y34" s="1529">
        <f>W34*0.65</f>
        <v>0.52</v>
      </c>
      <c r="Z34" s="379">
        <f>Z33/88*60</f>
        <v>0.54545454545454553</v>
      </c>
      <c r="AA34" s="381">
        <f>AA33/88*60</f>
        <v>6.8181818181818191E-2</v>
      </c>
      <c r="AB34" s="382">
        <v>13.1</v>
      </c>
      <c r="AC34" s="610">
        <v>0.5</v>
      </c>
      <c r="AD34" s="610">
        <f>AC34*0.76</f>
        <v>0.38</v>
      </c>
      <c r="AE34" s="378">
        <v>12</v>
      </c>
      <c r="AF34" s="378">
        <v>105</v>
      </c>
      <c r="AG34" s="378">
        <v>4</v>
      </c>
      <c r="AH34" s="612">
        <v>14</v>
      </c>
      <c r="AI34" s="612">
        <f>(H34-AH34)*AU34-I34*AV34-AE34*AW34-AF34-AG34</f>
        <v>64.45999999999998</v>
      </c>
      <c r="AJ34" s="612">
        <f>$H34-($AE34+$AF34+$AH34+$I34+$K34)</f>
        <v>133</v>
      </c>
      <c r="AK34" s="610">
        <f>AL34+AM34</f>
        <v>6.9600000000000009</v>
      </c>
      <c r="AL34" s="610">
        <f>54*AE34/100</f>
        <v>6.48</v>
      </c>
      <c r="AM34" s="610">
        <f>4*AE34/100</f>
        <v>0.48</v>
      </c>
      <c r="AN34" s="612"/>
      <c r="AO34" s="612"/>
      <c r="AP34" s="612"/>
      <c r="AQ34" s="612">
        <f>IF(H34="","",50*V34+83*Z34+26*AB34+44*AA34-59*W34-13*P34-28*AZ34)</f>
        <v>356.9440909090909</v>
      </c>
      <c r="AR34" s="847">
        <f>IF(H34="","",V34/1000*20140+Z34/1000*48600+1100/440*I34)</f>
        <v>119.63509090909091</v>
      </c>
      <c r="AS34" s="612">
        <f>AX34*K34+AY34*AT34-AF34-AG34</f>
        <v>123.68</v>
      </c>
      <c r="AT34" s="612">
        <f>IF(H34=""," ",H34-I34-AE34-AH34-K34)</f>
        <v>238</v>
      </c>
      <c r="AU34" s="851">
        <v>0.62</v>
      </c>
      <c r="AV34" s="851">
        <v>0.81</v>
      </c>
      <c r="AW34" s="851">
        <v>0.88</v>
      </c>
      <c r="AX34" s="851">
        <v>0.33</v>
      </c>
      <c r="AY34" s="851">
        <v>0.9</v>
      </c>
      <c r="AZ34" s="659">
        <f>1.3*H34/1000</f>
        <v>0.45500000000000002</v>
      </c>
      <c r="BA34" s="612">
        <v>95</v>
      </c>
      <c r="BB34" s="612">
        <v>175</v>
      </c>
      <c r="BC34" s="381">
        <f t="shared" si="4"/>
        <v>1.67061188</v>
      </c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383"/>
      <c r="BX34" s="383"/>
      <c r="BY34" s="383"/>
      <c r="BZ34" s="383"/>
      <c r="CA34" s="383"/>
      <c r="CB34" s="383"/>
      <c r="CC34" s="383"/>
      <c r="CD34" s="383"/>
      <c r="CE34" s="383"/>
      <c r="CF34" s="383"/>
      <c r="CG34" s="383"/>
      <c r="CH34" s="383"/>
      <c r="CI34" s="383"/>
      <c r="CJ34" s="383"/>
      <c r="CK34" s="383"/>
      <c r="CL34" s="383"/>
      <c r="CM34" s="383"/>
      <c r="CN34" s="383"/>
      <c r="CO34" s="383"/>
      <c r="CP34" s="383"/>
      <c r="CQ34" s="383"/>
      <c r="CR34" s="383"/>
      <c r="CS34" s="383"/>
      <c r="CT34" s="383"/>
      <c r="CU34" s="383"/>
      <c r="CV34" s="383"/>
      <c r="CW34" s="383"/>
      <c r="CX34" s="383"/>
      <c r="CY34" s="383"/>
      <c r="CZ34" s="383"/>
      <c r="DA34" s="383"/>
      <c r="DB34" s="383"/>
      <c r="DC34" s="383"/>
      <c r="DD34" s="383"/>
      <c r="DE34" s="383"/>
      <c r="DF34" s="383"/>
      <c r="DG34" s="383"/>
      <c r="DH34" s="383"/>
      <c r="DI34" s="383"/>
      <c r="DJ34" s="383"/>
      <c r="DK34" s="383"/>
      <c r="DL34" s="383"/>
      <c r="DM34" s="383"/>
      <c r="DN34" s="383"/>
      <c r="DO34" s="383"/>
      <c r="DP34" s="383"/>
      <c r="DQ34" s="383"/>
      <c r="DR34" s="383"/>
      <c r="DS34" s="383"/>
      <c r="DT34" s="383"/>
      <c r="DU34" s="383"/>
      <c r="DV34" s="383"/>
      <c r="DW34" s="383"/>
      <c r="DX34" s="383"/>
      <c r="DY34" s="383"/>
      <c r="DZ34" s="383"/>
      <c r="EA34" s="383"/>
      <c r="EB34" s="383"/>
      <c r="EC34" s="383"/>
      <c r="ED34" s="383"/>
      <c r="EE34" s="383"/>
      <c r="EF34" s="383"/>
      <c r="EG34" s="383"/>
      <c r="EH34" s="383"/>
      <c r="EI34" s="383"/>
      <c r="EJ34" s="383"/>
      <c r="EK34" s="383"/>
      <c r="EL34" s="383"/>
      <c r="EM34" s="383"/>
    </row>
    <row r="35" spans="1:143" s="3" customFormat="1" ht="12.5" customHeight="1">
      <c r="A35" s="897" t="str">
        <f>IF(E35=" ",D35&amp;" "&amp;F35,D35&amp;" "&amp;E35&amp;"% RP "&amp;F35)</f>
        <v xml:space="preserve">eigener Mais, siliert </v>
      </c>
      <c r="B35" s="298">
        <f>IF(D35=""," ",COUNTA($D$8:D35))</f>
        <v>28</v>
      </c>
      <c r="C35" s="327"/>
      <c r="D35" s="480" t="s">
        <v>997</v>
      </c>
      <c r="E35" s="619" t="str">
        <f>IF(I35=0," ",ROUND(I35/10,0))</f>
        <v xml:space="preserve"> </v>
      </c>
      <c r="F35" s="304"/>
      <c r="G35" s="305"/>
      <c r="H35" s="91"/>
      <c r="I35" s="91"/>
      <c r="J35" s="306" t="str">
        <f>IF(I35=0," ",I35*0.59)</f>
        <v xml:space="preserve"> </v>
      </c>
      <c r="K35" s="91"/>
      <c r="L35" s="988" t="str">
        <f>IF($I35=""," ",I35*0.0205*AV35+0.0398*AW35*AE35+0.0173*AF35+0.016*$AG35+0.0147*AI35)</f>
        <v xml:space="preserve"> </v>
      </c>
      <c r="M35" s="988" t="str">
        <f>IF(I35=""," ",$I35*0.021503+0.032497*$AE35+0.016309*$AF35+0.014701*$AJ35-0.021071*$K35)</f>
        <v xml:space="preserve"> </v>
      </c>
      <c r="N35" s="307" t="str">
        <f>IF(I35=0," ",(I35/H35*550*0.0171+0.51)/550*H35)</f>
        <v xml:space="preserve"> </v>
      </c>
      <c r="O35" s="308" t="str">
        <f>IF(N35=" "," ",N35*0.73)</f>
        <v xml:space="preserve"> </v>
      </c>
      <c r="P35" s="307" t="str">
        <f>IF(N35=" "," ",(I35/H35*550*0.0215+1.04)/550*H35)</f>
        <v xml:space="preserve"> </v>
      </c>
      <c r="Q35" s="308" t="str">
        <f>IF(N35=" "," ",P35*(0.92*1.3+0.9*0.88)/2.1)</f>
        <v xml:space="preserve"> </v>
      </c>
      <c r="R35" s="307" t="str">
        <f>IF(N35=" "," ",(I35/H35*550*0.0301+0.28)/550*H35)</f>
        <v xml:space="preserve"> </v>
      </c>
      <c r="S35" s="308" t="str">
        <f>IF(N35=" "," ",R35*0.88)</f>
        <v xml:space="preserve"> </v>
      </c>
      <c r="T35" s="307" t="str">
        <f>IF(N35=" "," ",0.2)</f>
        <v xml:space="preserve"> </v>
      </c>
      <c r="U35" s="308" t="str">
        <f>IF(N35=" "," ",T35*0.76)</f>
        <v xml:space="preserve"> </v>
      </c>
      <c r="V35" s="307" t="str">
        <f t="shared" ref="V35:AB35" si="27">IF($I35=0," ",V34*$H35/$H34)</f>
        <v xml:space="preserve"> </v>
      </c>
      <c r="W35" s="307" t="str">
        <f t="shared" si="27"/>
        <v xml:space="preserve"> </v>
      </c>
      <c r="X35" s="308" t="str">
        <f t="shared" si="27"/>
        <v xml:space="preserve"> </v>
      </c>
      <c r="Y35" s="307" t="str">
        <f t="shared" si="27"/>
        <v xml:space="preserve"> </v>
      </c>
      <c r="Z35" s="307" t="str">
        <f t="shared" si="27"/>
        <v xml:space="preserve"> </v>
      </c>
      <c r="AA35" s="309" t="str">
        <f t="shared" si="27"/>
        <v xml:space="preserve"> </v>
      </c>
      <c r="AB35" s="310" t="str">
        <f t="shared" si="27"/>
        <v xml:space="preserve"> </v>
      </c>
      <c r="AC35" s="307" t="str">
        <f>IF($I35=0," ",AC34/H34*H35)</f>
        <v xml:space="preserve"> </v>
      </c>
      <c r="AD35" s="307" t="str">
        <f>IF($N35=" "," ",AC35*0.85)</f>
        <v xml:space="preserve"> </v>
      </c>
      <c r="AE35" s="92"/>
      <c r="AF35" s="92"/>
      <c r="AG35" s="92"/>
      <c r="AH35" s="92"/>
      <c r="AI35" s="306" t="str">
        <f>IF($I35=""," ",(H35-AH35)*AU35-I35*AV35-AE35*AW35-AF35-AG35)</f>
        <v xml:space="preserve"> </v>
      </c>
      <c r="AJ35" s="306" t="str">
        <f>IF($I35=""," ",$H35-($AE35+$AF35+$AH35+$I35+$K35))</f>
        <v xml:space="preserve"> </v>
      </c>
      <c r="AK35" s="307" t="str">
        <f>IF($I35=0," ",AK34*$H35/$H34)</f>
        <v xml:space="preserve"> </v>
      </c>
      <c r="AL35" s="307" t="str">
        <f>IF($I35=0," ",AL34*$H35/$H34)</f>
        <v xml:space="preserve"> </v>
      </c>
      <c r="AM35" s="307" t="str">
        <f>IF($I35=0," ",AM34*$H35/$H34)</f>
        <v xml:space="preserve"> </v>
      </c>
      <c r="AN35" s="306"/>
      <c r="AO35" s="306"/>
      <c r="AP35" s="306"/>
      <c r="AQ35" s="306" t="str">
        <f>IF(H35="","",50*V35+83*Z35+26*AB35+44*AA35-59*W35-13*P35-28*AZ35)</f>
        <v/>
      </c>
      <c r="AR35" s="306" t="str">
        <f>IF(H35="","",V35/1000*20140+Z35/1000*48600+1100/440*I35)</f>
        <v/>
      </c>
      <c r="AS35" s="306" t="str">
        <f>IF($I35=0," ",AX35*K35+AY35*AT35-AF35-AG35)</f>
        <v xml:space="preserve"> </v>
      </c>
      <c r="AT35" s="92" t="str">
        <f>IF(H35=""," ",H35-I35-AE35-AH35-K35)</f>
        <v xml:space="preserve"> </v>
      </c>
      <c r="AU35" s="853" t="str">
        <f>IF($I35=0," ",AU34)</f>
        <v xml:space="preserve"> </v>
      </c>
      <c r="AV35" s="853" t="str">
        <f>IF($I35=0," ",AV34)</f>
        <v xml:space="preserve"> </v>
      </c>
      <c r="AW35" s="853" t="str">
        <f>IF($I35=0," ",AW34)</f>
        <v xml:space="preserve"> </v>
      </c>
      <c r="AX35" s="853" t="str">
        <f>IF($I35=0," ",AX34)</f>
        <v xml:space="preserve"> </v>
      </c>
      <c r="AY35" s="853" t="str">
        <f>IF($I35=0," ",AY34)</f>
        <v xml:space="preserve"> </v>
      </c>
      <c r="AZ35" s="309" t="str">
        <f>IF($I35=0," ",AZ34*$H35/$H34)</f>
        <v xml:space="preserve"> </v>
      </c>
      <c r="BA35" s="92" t="str">
        <f>IF($I35=0," ",BA34*$H35/$H34*K35/K34)</f>
        <v xml:space="preserve"> </v>
      </c>
      <c r="BB35" s="92" t="str">
        <f>IF($I35=0," ",BB34*$H35/$H34*K35/K34)</f>
        <v xml:space="preserve"> </v>
      </c>
      <c r="BC35" s="988" t="str">
        <f t="shared" si="4"/>
        <v/>
      </c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7"/>
      <c r="DO35" s="277"/>
      <c r="DP35" s="277"/>
      <c r="DQ35" s="277"/>
      <c r="DR35" s="277"/>
      <c r="DS35" s="277"/>
      <c r="DT35" s="277"/>
      <c r="DU35" s="277"/>
      <c r="DV35" s="277"/>
      <c r="DW35" s="277"/>
      <c r="DX35" s="277"/>
      <c r="DY35" s="277"/>
      <c r="DZ35" s="277"/>
      <c r="EA35" s="277"/>
      <c r="EB35" s="277"/>
      <c r="EC35" s="277"/>
      <c r="ED35" s="277"/>
      <c r="EE35" s="277"/>
      <c r="EF35" s="277"/>
      <c r="EG35" s="277"/>
      <c r="EH35" s="277"/>
      <c r="EI35" s="277"/>
      <c r="EJ35" s="277"/>
      <c r="EK35" s="277"/>
      <c r="EL35" s="277"/>
      <c r="EM35" s="277"/>
    </row>
    <row r="36" spans="1:143" s="3" customFormat="1" ht="12.5" customHeight="1">
      <c r="A36" s="897" t="str">
        <f t="shared" si="7"/>
        <v xml:space="preserve">Roggen  11% RP </v>
      </c>
      <c r="B36" s="298">
        <f>IF(D36=""," ",COUNTA($D$8:D36))</f>
        <v>29</v>
      </c>
      <c r="C36" s="327"/>
      <c r="D36" s="479" t="s">
        <v>45</v>
      </c>
      <c r="E36" s="617">
        <f t="shared" si="0"/>
        <v>11</v>
      </c>
      <c r="F36" s="299"/>
      <c r="G36" s="300" t="s">
        <v>41</v>
      </c>
      <c r="H36" s="275">
        <v>880</v>
      </c>
      <c r="I36" s="275">
        <v>112.1</v>
      </c>
      <c r="J36" s="321">
        <f>I36*0.78</f>
        <v>87.438000000000002</v>
      </c>
      <c r="K36" s="275">
        <v>24.1</v>
      </c>
      <c r="L36" s="381">
        <f>I36*0.0205*AV36+0.0398*AW36*AE36+0.0173*AF36+0.016*$AG36+0.0147*AI36</f>
        <v>13.350051919999999</v>
      </c>
      <c r="M36" s="322">
        <f>$I36*0.021503+0.032497*$AE36+0.016309*$AF36+0.014701*$AJ36-0.021071*$K36</f>
        <v>13.692944840000001</v>
      </c>
      <c r="N36" s="274">
        <f>IF(I36=0," ",I36*0.0272+0.87)</f>
        <v>3.9191199999999999</v>
      </c>
      <c r="O36" s="302">
        <f>IF(N36=" "," ",N36*0.7)</f>
        <v>2.7433839999999998</v>
      </c>
      <c r="P36" s="274">
        <f>IF(N36=" "," ",I36*0.033+0.51)</f>
        <v>4.2092999999999998</v>
      </c>
      <c r="Q36" s="302">
        <f>IF(N36=" "," ",P36*(1.3*0.88+1.3*0.85)/2.6)</f>
        <v>3.6410445</v>
      </c>
      <c r="R36" s="274">
        <f>IF(N36=" "," ",I36*0.0293+0.33)</f>
        <v>3.6145299999999998</v>
      </c>
      <c r="S36" s="302">
        <f>IF(N36=" "," ",R36*0.85)</f>
        <v>3.0723504999999998</v>
      </c>
      <c r="T36" s="274">
        <f>IF(N36=" "," ",I36*0.0082+0.24)</f>
        <v>1.1592199999999999</v>
      </c>
      <c r="U36" s="302">
        <f>IF(N36=" "," ",T36*0.71)</f>
        <v>0.82304619999999995</v>
      </c>
      <c r="V36" s="274">
        <v>0.5</v>
      </c>
      <c r="W36" s="311">
        <v>3</v>
      </c>
      <c r="X36" s="302">
        <f>W36*0.45</f>
        <v>1.35</v>
      </c>
      <c r="Y36" s="301">
        <f>W36*0.65</f>
        <v>1.9500000000000002</v>
      </c>
      <c r="Z36" s="311">
        <v>1</v>
      </c>
      <c r="AA36" s="303">
        <v>0.06</v>
      </c>
      <c r="AB36" s="276">
        <v>4.9000000000000004</v>
      </c>
      <c r="AC36" s="311">
        <f>IF($I36=""," ",$I36*0.0136+0.28)</f>
        <v>1.8045599999999999</v>
      </c>
      <c r="AD36" s="311">
        <f>AC36*0.85</f>
        <v>1.533876</v>
      </c>
      <c r="AE36" s="321">
        <v>15.3</v>
      </c>
      <c r="AF36" s="321">
        <v>539.79999999999995</v>
      </c>
      <c r="AG36" s="321">
        <v>55.5</v>
      </c>
      <c r="AH36" s="321">
        <f t="shared" ref="AH36:AH41" si="28">22*0.88</f>
        <v>19.36</v>
      </c>
      <c r="AI36" s="612">
        <f>(H36-AH36)*AU36-I36*AV36-AE36*AW36-AF36-AG36</f>
        <v>78.947600000000079</v>
      </c>
      <c r="AJ36" s="321">
        <f>$H36-($AE36+$AF36+$AH36+$I36+$K36)</f>
        <v>169.34000000000003</v>
      </c>
      <c r="AK36" s="610">
        <f>AL36+AM36</f>
        <v>9.9450000000000003</v>
      </c>
      <c r="AL36" s="610">
        <f>58*AE36/100</f>
        <v>8.8740000000000006</v>
      </c>
      <c r="AM36" s="610">
        <f>7*AE36/100</f>
        <v>1.0710000000000002</v>
      </c>
      <c r="AN36" s="321"/>
      <c r="AO36" s="321"/>
      <c r="AP36" s="321"/>
      <c r="AQ36" s="612">
        <f t="shared" si="1"/>
        <v>1.3910999999999918</v>
      </c>
      <c r="AR36" s="847">
        <f t="shared" si="2"/>
        <v>338.92</v>
      </c>
      <c r="AS36" s="612">
        <f>AX36*K36+AY36*AT36-AF36-AG36</f>
        <v>71.912200000000098</v>
      </c>
      <c r="AT36" s="612">
        <f>IF(H36=""," ",H36-I36-AE36-AH36-K36)</f>
        <v>709.14</v>
      </c>
      <c r="AU36" s="855">
        <v>0.89</v>
      </c>
      <c r="AV36" s="855">
        <v>0.78</v>
      </c>
      <c r="AW36" s="855">
        <v>0.28000000000000003</v>
      </c>
      <c r="AX36" s="855">
        <v>0.32</v>
      </c>
      <c r="AY36" s="855">
        <v>0.93</v>
      </c>
      <c r="AZ36" s="303">
        <f>0.2*H36/1000</f>
        <v>0.17599999999999999</v>
      </c>
      <c r="BA36" s="612">
        <f>35/$H$38*$H36*$K36/$K$38</f>
        <v>37.095452273863067</v>
      </c>
      <c r="BB36" s="612">
        <f>235/$H$38*$H36*$K36/$K$38</f>
        <v>249.06946526736635</v>
      </c>
      <c r="BC36" s="381">
        <f t="shared" si="4"/>
        <v>14.807449733200002</v>
      </c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  <c r="DS36" s="277"/>
      <c r="DT36" s="277"/>
      <c r="DU36" s="277"/>
      <c r="DV36" s="277"/>
      <c r="DW36" s="277"/>
      <c r="DX36" s="277"/>
      <c r="DY36" s="277"/>
      <c r="DZ36" s="277"/>
      <c r="EA36" s="277"/>
      <c r="EB36" s="277"/>
      <c r="EC36" s="277"/>
      <c r="ED36" s="277"/>
      <c r="EE36" s="277"/>
      <c r="EF36" s="277"/>
      <c r="EG36" s="277"/>
      <c r="EH36" s="277"/>
      <c r="EI36" s="277"/>
      <c r="EJ36" s="277"/>
      <c r="EK36" s="277"/>
      <c r="EL36" s="277"/>
      <c r="EM36" s="277"/>
    </row>
    <row r="37" spans="1:143" s="3" customFormat="1" ht="12.5" customHeight="1">
      <c r="A37" s="897" t="str">
        <f t="shared" si="7"/>
        <v xml:space="preserve">Roggen  10% RP </v>
      </c>
      <c r="B37" s="298">
        <f>IF(D37=""," ",COUNTA($D$8:D37))</f>
        <v>30</v>
      </c>
      <c r="C37" s="327"/>
      <c r="D37" s="479" t="s">
        <v>45</v>
      </c>
      <c r="E37" s="617">
        <f t="shared" si="0"/>
        <v>10</v>
      </c>
      <c r="F37" s="299"/>
      <c r="G37" s="300" t="s">
        <v>42</v>
      </c>
      <c r="H37" s="275">
        <v>880</v>
      </c>
      <c r="I37" s="275">
        <v>98.8</v>
      </c>
      <c r="J37" s="321">
        <f>I37*0.78</f>
        <v>77.064000000000007</v>
      </c>
      <c r="K37" s="275">
        <v>24.6</v>
      </c>
      <c r="L37" s="381">
        <f>I37*0.0205*AV37+0.0398*AW37*AE37+0.0173*AF37+0.016*$AG37+0.0147*AI37</f>
        <v>13.257126720000002</v>
      </c>
      <c r="M37" s="322">
        <f>$I37*0.021503+0.032497*$AE37+0.016309*$AF37+0.014701*$AJ37-0.021071*$K37</f>
        <v>13.57113904</v>
      </c>
      <c r="N37" s="274">
        <f>IF(I37=0," ",I37*0.0272+0.87)</f>
        <v>3.5573600000000001</v>
      </c>
      <c r="O37" s="302">
        <f>IF(N37=" "," ",N37*0.8)</f>
        <v>2.8458880000000004</v>
      </c>
      <c r="P37" s="274">
        <f>IF(N37=" "," ",I37*0.033+0.51)</f>
        <v>3.7704000000000004</v>
      </c>
      <c r="Q37" s="302">
        <f>IF(N37=" "," ",P37*(1.5*0.85+2.1*0.9)/3.6)</f>
        <v>3.3148100000000005</v>
      </c>
      <c r="R37" s="274">
        <f>IF(N37=" "," ",I37*0.0293+0.33)</f>
        <v>3.2248399999999999</v>
      </c>
      <c r="S37" s="301">
        <f>IF(N37=" "," ",R37*0.75)</f>
        <v>2.4186299999999998</v>
      </c>
      <c r="T37" s="274">
        <f>IF(N37=" "," ",I37*0.0082+0.24)</f>
        <v>1.05016</v>
      </c>
      <c r="U37" s="301">
        <f>IF(N37=" "," ",T37*0.78)</f>
        <v>0.81912479999999999</v>
      </c>
      <c r="V37" s="274">
        <v>0.5</v>
      </c>
      <c r="W37" s="311">
        <v>3</v>
      </c>
      <c r="X37" s="302">
        <f>W37*0.45</f>
        <v>1.35</v>
      </c>
      <c r="Y37" s="301">
        <f>W37*0.65</f>
        <v>1.9500000000000002</v>
      </c>
      <c r="Z37" s="311">
        <v>1</v>
      </c>
      <c r="AA37" s="303">
        <v>0.06</v>
      </c>
      <c r="AB37" s="276">
        <v>4.9000000000000004</v>
      </c>
      <c r="AC37" s="311">
        <f>IF($I37=""," ",$I37*0.0136+0.28)</f>
        <v>1.62368</v>
      </c>
      <c r="AD37" s="311">
        <f>AC37*0.85</f>
        <v>1.380128</v>
      </c>
      <c r="AE37" s="321">
        <v>15.8</v>
      </c>
      <c r="AF37" s="321">
        <v>525.9</v>
      </c>
      <c r="AG37" s="321">
        <v>55.4</v>
      </c>
      <c r="AH37" s="321">
        <f t="shared" si="28"/>
        <v>19.36</v>
      </c>
      <c r="AI37" s="612">
        <f>(H37-AH37)*AU37-I37*AV37-AE37*AW37-AF37-AG37</f>
        <v>103.18160000000009</v>
      </c>
      <c r="AJ37" s="321">
        <f>$H37-($AE37+$AF37+$AH37+$I37+$K37)</f>
        <v>195.54000000000008</v>
      </c>
      <c r="AK37" s="610">
        <f>AL37+AM37</f>
        <v>10.270000000000001</v>
      </c>
      <c r="AL37" s="610">
        <f>58*AE37/100</f>
        <v>9.1640000000000015</v>
      </c>
      <c r="AM37" s="610">
        <f>7*AE37/100</f>
        <v>1.1060000000000001</v>
      </c>
      <c r="AN37" s="321"/>
      <c r="AO37" s="321"/>
      <c r="AP37" s="321"/>
      <c r="AQ37" s="612">
        <f t="shared" si="1"/>
        <v>7.0967999999999849</v>
      </c>
      <c r="AR37" s="847">
        <f t="shared" si="2"/>
        <v>305.67</v>
      </c>
      <c r="AS37" s="612">
        <f>AX37*K37+AY37*AT37-AF37-AG37</f>
        <v>97.511200000000116</v>
      </c>
      <c r="AT37" s="612">
        <f t="shared" ref="AT37:AT69" si="29">IF(H37=""," ",H37-I37-AE37-AH37-K37)</f>
        <v>721.44</v>
      </c>
      <c r="AU37" s="855">
        <v>0.89</v>
      </c>
      <c r="AV37" s="855">
        <v>0.78</v>
      </c>
      <c r="AW37" s="855">
        <v>0.28000000000000003</v>
      </c>
      <c r="AX37" s="855">
        <v>0.32</v>
      </c>
      <c r="AY37" s="855">
        <v>0.93</v>
      </c>
      <c r="AZ37" s="303">
        <f>0.2*H37/1000</f>
        <v>0.17599999999999999</v>
      </c>
      <c r="BA37" s="612">
        <f>35/$H$38*H37*K37/$K$38</f>
        <v>37.865067466266865</v>
      </c>
      <c r="BB37" s="612">
        <f>235/$H$38*$H37*$K37/$K$38</f>
        <v>254.23688155922039</v>
      </c>
      <c r="BC37" s="381">
        <f t="shared" si="4"/>
        <v>14.889431499199999</v>
      </c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7"/>
      <c r="DG37" s="277"/>
      <c r="DH37" s="277"/>
      <c r="DI37" s="277"/>
      <c r="DJ37" s="277"/>
      <c r="DK37" s="277"/>
      <c r="DL37" s="277"/>
      <c r="DM37" s="277"/>
      <c r="DN37" s="277"/>
      <c r="DO37" s="277"/>
      <c r="DP37" s="277"/>
      <c r="DQ37" s="277"/>
      <c r="DR37" s="277"/>
      <c r="DS37" s="277"/>
      <c r="DT37" s="277"/>
      <c r="DU37" s="277"/>
      <c r="DV37" s="277"/>
      <c r="DW37" s="277"/>
      <c r="DX37" s="277"/>
      <c r="DY37" s="277"/>
      <c r="DZ37" s="277"/>
      <c r="EA37" s="277"/>
      <c r="EB37" s="277"/>
      <c r="EC37" s="277"/>
      <c r="ED37" s="277"/>
      <c r="EE37" s="277"/>
      <c r="EF37" s="277"/>
      <c r="EG37" s="277"/>
      <c r="EH37" s="277"/>
      <c r="EI37" s="277"/>
      <c r="EJ37" s="277"/>
      <c r="EK37" s="277"/>
      <c r="EL37" s="277"/>
      <c r="EM37" s="277"/>
    </row>
    <row r="38" spans="1:143" s="277" customFormat="1" ht="12.5" customHeight="1">
      <c r="A38" s="897" t="str">
        <f t="shared" si="7"/>
        <v>Roggen  9% RP DLG 2014</v>
      </c>
      <c r="B38" s="298">
        <f>IF(D38=""," ",COUNTA($D$8:D38))</f>
        <v>31</v>
      </c>
      <c r="C38" s="327"/>
      <c r="D38" s="482" t="s">
        <v>45</v>
      </c>
      <c r="E38" s="620">
        <f t="shared" si="0"/>
        <v>9</v>
      </c>
      <c r="F38" s="319" t="s">
        <v>969</v>
      </c>
      <c r="G38" s="320"/>
      <c r="H38" s="321">
        <v>870</v>
      </c>
      <c r="I38" s="321">
        <v>91</v>
      </c>
      <c r="J38" s="321">
        <f>I38*0.78</f>
        <v>70.98</v>
      </c>
      <c r="K38" s="321">
        <v>23</v>
      </c>
      <c r="L38" s="381">
        <f>I38*0.0205*AV38+0.0398*AW38*AE38+0.0173*AF38+0.016*$AG38+0.0147*AI38</f>
        <v>13.159755120000002</v>
      </c>
      <c r="M38" s="322">
        <f>$I38*0.021503+0.032497*$AE38+0.016309*$AF38+0.014701*$AJ38-0.021071*$K38</f>
        <v>13.47383664</v>
      </c>
      <c r="N38" s="311">
        <f>IF(I38=0," ",I38*0.0272+0.87)</f>
        <v>3.3452000000000002</v>
      </c>
      <c r="O38" s="302">
        <f>IF(N38=" "," ",N38*0.8)</f>
        <v>2.6761600000000003</v>
      </c>
      <c r="P38" s="311">
        <f>IF(N38=" "," ",I38*0.033+0.51)</f>
        <v>3.5129999999999999</v>
      </c>
      <c r="Q38" s="302">
        <f>IF(N38=" "," ",P38*(1.5*0.85+2.1*0.9)/3.6)</f>
        <v>3.0885124999999998</v>
      </c>
      <c r="R38" s="311">
        <f>IF(N38=" "," ",I38*0.0293+0.33)</f>
        <v>2.9963000000000002</v>
      </c>
      <c r="S38" s="302">
        <f>IF(N38=" "," ",R38*0.75)</f>
        <v>2.2472250000000003</v>
      </c>
      <c r="T38" s="311">
        <f>IF(N38=" "," ",I38*0.0082+0.24)</f>
        <v>0.98620000000000008</v>
      </c>
      <c r="U38" s="302">
        <f>IF(N38=" "," ",T38*0.78)</f>
        <v>0.76923600000000003</v>
      </c>
      <c r="V38" s="311">
        <v>0.5</v>
      </c>
      <c r="W38" s="311">
        <v>3</v>
      </c>
      <c r="X38" s="302">
        <f>W38*0.45</f>
        <v>1.35</v>
      </c>
      <c r="Y38" s="302">
        <f>W38*0.65</f>
        <v>1.9500000000000002</v>
      </c>
      <c r="Z38" s="311">
        <v>1</v>
      </c>
      <c r="AA38" s="322">
        <v>0.06</v>
      </c>
      <c r="AB38" s="323">
        <v>4.9000000000000004</v>
      </c>
      <c r="AC38" s="311">
        <f>IF($I38=""," ",$I38*0.0136+0.28)</f>
        <v>1.5176000000000001</v>
      </c>
      <c r="AD38" s="311">
        <f>AC38*0.85</f>
        <v>1.28996</v>
      </c>
      <c r="AE38" s="321">
        <v>16</v>
      </c>
      <c r="AF38" s="321">
        <v>552</v>
      </c>
      <c r="AG38" s="321">
        <v>55</v>
      </c>
      <c r="AH38" s="321">
        <f t="shared" si="28"/>
        <v>19.36</v>
      </c>
      <c r="AI38" s="612">
        <f>(H38-AH38)*AU38-I38*AV38-AE38*AW38-AF38-AG38</f>
        <v>74.6096</v>
      </c>
      <c r="AJ38" s="321">
        <f>$H38-($AE38+$AF38+$AH38+$I38+$K38)</f>
        <v>168.64</v>
      </c>
      <c r="AK38" s="610">
        <f>AL38+AM38</f>
        <v>10.399999999999999</v>
      </c>
      <c r="AL38" s="610">
        <f>58*AE38/100</f>
        <v>9.2799999999999994</v>
      </c>
      <c r="AM38" s="610">
        <f>7*AE38/100</f>
        <v>1.1200000000000001</v>
      </c>
      <c r="AN38" s="321"/>
      <c r="AO38" s="321"/>
      <c r="AP38" s="321"/>
      <c r="AQ38" s="612">
        <f t="shared" si="1"/>
        <v>10.498999999999995</v>
      </c>
      <c r="AR38" s="847">
        <f t="shared" si="2"/>
        <v>286.17</v>
      </c>
      <c r="AS38" s="612">
        <f>AX38*K38+AY38*AT38-AF38-AG38</f>
        <v>70.555200000000013</v>
      </c>
      <c r="AT38" s="612">
        <f t="shared" si="29"/>
        <v>720.64</v>
      </c>
      <c r="AU38" s="855">
        <v>0.89</v>
      </c>
      <c r="AV38" s="855">
        <v>0.78</v>
      </c>
      <c r="AW38" s="855">
        <v>0.28000000000000003</v>
      </c>
      <c r="AX38" s="855">
        <v>0.32</v>
      </c>
      <c r="AY38" s="855">
        <v>0.93</v>
      </c>
      <c r="AZ38" s="303">
        <f>0.2*H38/1000</f>
        <v>0.17399999999999999</v>
      </c>
      <c r="BA38" s="612">
        <v>35</v>
      </c>
      <c r="BB38" s="612">
        <v>235</v>
      </c>
      <c r="BC38" s="381">
        <f t="shared" si="4"/>
        <v>15.504900747200002</v>
      </c>
    </row>
    <row r="39" spans="1:143" s="4" customFormat="1" ht="12.5" customHeight="1">
      <c r="A39" s="897" t="str">
        <f t="shared" si="7"/>
        <v>eigener Roggen 9% RP Ø 2016</v>
      </c>
      <c r="B39" s="298">
        <f>IF(D39=""," ",COUNTA($D$8:D39))</f>
        <v>32</v>
      </c>
      <c r="C39" s="327"/>
      <c r="D39" s="480" t="s">
        <v>290</v>
      </c>
      <c r="E39" s="619">
        <f t="shared" si="0"/>
        <v>9</v>
      </c>
      <c r="F39" s="306" t="str">
        <f>IF(I39=85.04,"Ø 2016","")</f>
        <v>Ø 2016</v>
      </c>
      <c r="G39" s="305"/>
      <c r="H39" s="92">
        <v>880</v>
      </c>
      <c r="I39" s="92">
        <v>85.04</v>
      </c>
      <c r="J39" s="306">
        <f>IF(I39=0," ",I39*0.78)</f>
        <v>66.33120000000001</v>
      </c>
      <c r="K39" s="92">
        <v>19.36</v>
      </c>
      <c r="L39" s="988">
        <f>IF($I39=""," ",I39*0.0205*AV39+0.0398*AW39*AE39+0.0173*AF39+0.016*$AG39+0.0147*AI39)</f>
        <v>13.290114020000001</v>
      </c>
      <c r="M39" s="988">
        <f>IF(I39=""," ",$I39*0.021503+0.032497*$AE39+0.016309*$AF39+0.014701*$AJ39-0.021071*$K39)</f>
        <v>13.722676860000002</v>
      </c>
      <c r="N39" s="307">
        <f>IF(I39=0," ",(I39/H39*880*0.0272+0.87)/880*H39)</f>
        <v>3.1830880000000001</v>
      </c>
      <c r="O39" s="308">
        <f>IF(N39=" "," ",N39*0.8)</f>
        <v>2.5464704000000005</v>
      </c>
      <c r="P39" s="307">
        <f>IF(N39=" "," ",(I39/H39*880*0.033+0.51)/880*H39)</f>
        <v>3.3163200000000002</v>
      </c>
      <c r="Q39" s="308">
        <f>IF(N39=" "," ",P39*(1.5*0.85+2.1*0.9)/3.6)</f>
        <v>2.9155980000000001</v>
      </c>
      <c r="R39" s="307">
        <f>IF(N39=" "," ",(I39/H39*880*0.0293+0.33)/880*H39)</f>
        <v>2.8216720000000004</v>
      </c>
      <c r="S39" s="308">
        <f>IF(N39=" "," ",R39*0.75)</f>
        <v>2.1162540000000005</v>
      </c>
      <c r="T39" s="307">
        <f>IF(N39=" "," ",(I39/H39*880*0.0082+0.24)/880*H39)</f>
        <v>0.93732800000000005</v>
      </c>
      <c r="U39" s="308">
        <f>IF(N39=" "," ",T39*0.78)</f>
        <v>0.73111584000000007</v>
      </c>
      <c r="V39" s="307">
        <f t="shared" ref="V39:AB39" si="30">IF($I39=0," ",V38*$H39/$H38)</f>
        <v>0.50574712643678166</v>
      </c>
      <c r="W39" s="307">
        <f t="shared" si="30"/>
        <v>3.0344827586206895</v>
      </c>
      <c r="X39" s="308">
        <f t="shared" si="30"/>
        <v>1.3655172413793104</v>
      </c>
      <c r="Y39" s="307">
        <f t="shared" si="30"/>
        <v>1.9724137931034484</v>
      </c>
      <c r="Z39" s="307">
        <f t="shared" si="30"/>
        <v>1.0114942528735633</v>
      </c>
      <c r="AA39" s="309">
        <f t="shared" si="30"/>
        <v>6.0689655172413787E-2</v>
      </c>
      <c r="AB39" s="310">
        <f t="shared" si="30"/>
        <v>4.9563218390804602</v>
      </c>
      <c r="AC39" s="307">
        <f>IF($I39=""," ",($I39/H39*880*0.0136+0.28)/880*H39)</f>
        <v>1.436544</v>
      </c>
      <c r="AD39" s="307">
        <f>IF($N39=" "," ",AC39*0.85)</f>
        <v>1.2210624000000001</v>
      </c>
      <c r="AE39" s="92">
        <v>15.84</v>
      </c>
      <c r="AF39" s="92">
        <v>563.71</v>
      </c>
      <c r="AG39" s="92">
        <v>55.44</v>
      </c>
      <c r="AH39" s="92">
        <v>19.62</v>
      </c>
      <c r="AI39" s="306">
        <f>IF($I39=""," ",(H39-AH39)*AU39-I39*AV39-AE39*AW39-AF39-AG39)</f>
        <v>75.821799999999996</v>
      </c>
      <c r="AJ39" s="306">
        <f>IF($I39=""," ",$H39-($AE39+$AF39+$AH39+$I39+$K39))</f>
        <v>176.42999999999995</v>
      </c>
      <c r="AK39" s="307">
        <f t="shared" ref="AK39:AP39" si="31">IF($I39=0," ",AK38*$H39/$H38)</f>
        <v>10.519540229885056</v>
      </c>
      <c r="AL39" s="307">
        <f t="shared" si="31"/>
        <v>9.3866666666666667</v>
      </c>
      <c r="AM39" s="307">
        <f t="shared" si="31"/>
        <v>1.1328735632183911</v>
      </c>
      <c r="AN39" s="306">
        <f t="shared" si="31"/>
        <v>0</v>
      </c>
      <c r="AO39" s="306">
        <f t="shared" si="31"/>
        <v>0</v>
      </c>
      <c r="AP39" s="306">
        <f t="shared" si="31"/>
        <v>0</v>
      </c>
      <c r="AQ39" s="306">
        <f t="shared" si="1"/>
        <v>13.701449195402359</v>
      </c>
      <c r="AR39" s="306">
        <f t="shared" si="2"/>
        <v>271.94436781609198</v>
      </c>
      <c r="AS39" s="306">
        <f>IF($I39=0," ",AX39*K39+AY39*AT39-AF39-AG39)</f>
        <v>75.375399999999956</v>
      </c>
      <c r="AT39" s="92">
        <f t="shared" si="29"/>
        <v>740.14</v>
      </c>
      <c r="AU39" s="853">
        <f>IF($I39=0," ",AU38)</f>
        <v>0.89</v>
      </c>
      <c r="AV39" s="853">
        <f>IF($I39=0," ",AV38)</f>
        <v>0.78</v>
      </c>
      <c r="AW39" s="853">
        <f>IF($I39=0," ",AW38)</f>
        <v>0.28000000000000003</v>
      </c>
      <c r="AX39" s="853">
        <f>IF($I39=0," ",AX38)</f>
        <v>0.32</v>
      </c>
      <c r="AY39" s="853">
        <f>IF($I39=0," ",AY38)</f>
        <v>0.93</v>
      </c>
      <c r="AZ39" s="309">
        <f>IF($I39=0," ",AZ38*$H39/$H38)</f>
        <v>0.17599999999999996</v>
      </c>
      <c r="BA39" s="92">
        <f>IF($I39=0," ",BA38/$H$38*H37*K37/$K$38)</f>
        <v>37.865067466266865</v>
      </c>
      <c r="BB39" s="92">
        <f>IF($I39=0," ",BB38/$H$38*$H37*$K37/$K$38)</f>
        <v>254.23688155922039</v>
      </c>
      <c r="BC39" s="988">
        <f t="shared" si="4"/>
        <v>16.169524107800004</v>
      </c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  <c r="DA39" s="277"/>
      <c r="DB39" s="277"/>
      <c r="DC39" s="277"/>
      <c r="DD39" s="277"/>
      <c r="DE39" s="277"/>
      <c r="DF39" s="277"/>
      <c r="DG39" s="277"/>
      <c r="DH39" s="277"/>
      <c r="DI39" s="277"/>
      <c r="DJ39" s="277"/>
      <c r="DK39" s="277"/>
      <c r="DL39" s="277"/>
      <c r="DM39" s="277"/>
      <c r="DN39" s="277"/>
      <c r="DO39" s="277"/>
      <c r="DP39" s="277"/>
      <c r="DQ39" s="277"/>
      <c r="DR39" s="277"/>
      <c r="DS39" s="277"/>
      <c r="DT39" s="277"/>
      <c r="DU39" s="277"/>
      <c r="DV39" s="277"/>
      <c r="DW39" s="277"/>
      <c r="DX39" s="277"/>
      <c r="DY39" s="277"/>
      <c r="DZ39" s="277"/>
      <c r="EA39" s="277"/>
      <c r="EB39" s="277"/>
      <c r="EC39" s="277"/>
      <c r="ED39" s="277"/>
      <c r="EE39" s="277"/>
      <c r="EF39" s="277"/>
      <c r="EG39" s="277"/>
      <c r="EH39" s="277"/>
      <c r="EI39" s="277"/>
      <c r="EJ39" s="277"/>
      <c r="EK39" s="277"/>
      <c r="EL39" s="277"/>
      <c r="EM39" s="277"/>
    </row>
    <row r="40" spans="1:143" s="277" customFormat="1" ht="12.5" customHeight="1">
      <c r="A40" s="897" t="str">
        <f t="shared" si="7"/>
        <v xml:space="preserve">Roggen  9% RP </v>
      </c>
      <c r="B40" s="298">
        <f>IF(D40=""," ",COUNTA($D$8:D40))</f>
        <v>33</v>
      </c>
      <c r="C40" s="327"/>
      <c r="D40" s="481" t="s">
        <v>45</v>
      </c>
      <c r="E40" s="618">
        <f t="shared" si="0"/>
        <v>9</v>
      </c>
      <c r="F40" s="312"/>
      <c r="G40" s="313" t="s">
        <v>52</v>
      </c>
      <c r="H40" s="314">
        <v>880</v>
      </c>
      <c r="I40" s="314">
        <v>90.2</v>
      </c>
      <c r="J40" s="314">
        <f>I40*0.78</f>
        <v>70.356000000000009</v>
      </c>
      <c r="K40" s="314">
        <v>24.6</v>
      </c>
      <c r="L40" s="317">
        <f>I40*0.0205*AV40+0.0398*AW40*AE40+0.0173*AF40+0.016*$AG40+0.0147*AI40</f>
        <v>13.222380320000001</v>
      </c>
      <c r="M40" s="317">
        <f>$I40*0.021503+0.032497*$AE40+0.016309*$AF40+0.014701*$AJ40-0.021071*$K40</f>
        <v>13.515214640000002</v>
      </c>
      <c r="N40" s="315">
        <f>IF(I40=0," ",I40*0.0272+0.87)</f>
        <v>3.3234400000000002</v>
      </c>
      <c r="O40" s="316">
        <f>IF(N40=" "," ",N40*0.8)</f>
        <v>2.6587520000000002</v>
      </c>
      <c r="P40" s="315">
        <f>IF(N40=" "," ",I40*0.033+0.51)</f>
        <v>3.4866000000000001</v>
      </c>
      <c r="Q40" s="316">
        <f>IF(N40=" "," ",P40*(1.5*0.85+2.1*0.9)/3.6)</f>
        <v>3.0653025</v>
      </c>
      <c r="R40" s="315">
        <f>IF(N40=" "," ",I40*0.0293+0.33)</f>
        <v>2.9728600000000003</v>
      </c>
      <c r="S40" s="316">
        <f>IF(N40=" "," ",R40*0.75)</f>
        <v>2.2296450000000001</v>
      </c>
      <c r="T40" s="315">
        <f>IF(N40=" "," ",I40*0.0082+0.24)</f>
        <v>0.97964000000000007</v>
      </c>
      <c r="U40" s="316">
        <f>IF(N40=" "," ",T40*0.78)</f>
        <v>0.76411920000000011</v>
      </c>
      <c r="V40" s="315">
        <v>0.5</v>
      </c>
      <c r="W40" s="315">
        <v>3</v>
      </c>
      <c r="X40" s="316">
        <f>W40*0.45</f>
        <v>1.35</v>
      </c>
      <c r="Y40" s="316">
        <f>W40*0.65</f>
        <v>1.9500000000000002</v>
      </c>
      <c r="Z40" s="315">
        <v>1</v>
      </c>
      <c r="AA40" s="317">
        <v>0.06</v>
      </c>
      <c r="AB40" s="318">
        <v>4.9000000000000004</v>
      </c>
      <c r="AC40" s="315">
        <f>IF($I40=""," ",$I40*0.0136+0.28)</f>
        <v>1.5067200000000001</v>
      </c>
      <c r="AD40" s="315">
        <f>AC40*0.85</f>
        <v>1.2807120000000001</v>
      </c>
      <c r="AE40" s="314">
        <v>15.8</v>
      </c>
      <c r="AF40" s="314">
        <v>527.5</v>
      </c>
      <c r="AG40" s="314">
        <v>55.4</v>
      </c>
      <c r="AH40" s="314">
        <f t="shared" si="28"/>
        <v>19.36</v>
      </c>
      <c r="AI40" s="314">
        <f>(H40-AH40)*AU40-I40*AV40-AE40*AW40-AF40-AG40</f>
        <v>108.28960000000004</v>
      </c>
      <c r="AJ40" s="314">
        <f>$H40-($AE40+$AF40+$AH40+$I40+$K40)</f>
        <v>202.53999999999996</v>
      </c>
      <c r="AK40" s="315">
        <f>AL40+AM40</f>
        <v>10.270000000000001</v>
      </c>
      <c r="AL40" s="315">
        <f>58*AE40/100</f>
        <v>9.1640000000000015</v>
      </c>
      <c r="AM40" s="315">
        <f>7*AE40/100</f>
        <v>1.1060000000000001</v>
      </c>
      <c r="AN40" s="314"/>
      <c r="AO40" s="314"/>
      <c r="AP40" s="314"/>
      <c r="AQ40" s="314">
        <f t="shared" si="1"/>
        <v>10.78619999999999</v>
      </c>
      <c r="AR40" s="314">
        <f t="shared" si="2"/>
        <v>284.17</v>
      </c>
      <c r="AS40" s="314">
        <f>AX40*K40+AY40*AT40-AF40-AG40</f>
        <v>103.90919999999991</v>
      </c>
      <c r="AT40" s="314">
        <f t="shared" si="29"/>
        <v>730.04</v>
      </c>
      <c r="AU40" s="854">
        <v>0.89</v>
      </c>
      <c r="AV40" s="854">
        <v>0.78</v>
      </c>
      <c r="AW40" s="854">
        <v>0.28000000000000003</v>
      </c>
      <c r="AX40" s="854">
        <v>0.32</v>
      </c>
      <c r="AY40" s="854">
        <v>0.93</v>
      </c>
      <c r="AZ40" s="317">
        <f>0.2*H40/1000</f>
        <v>0.17599999999999999</v>
      </c>
      <c r="BA40" s="314">
        <f>35/$H$38*H40*K40/$K$38</f>
        <v>37.865067466266865</v>
      </c>
      <c r="BB40" s="314">
        <f>235/$H$38*$H40*$K40/$K$38</f>
        <v>254.23688155922039</v>
      </c>
      <c r="BC40" s="317">
        <f t="shared" si="4"/>
        <v>15.113406687199999</v>
      </c>
    </row>
    <row r="41" spans="1:143" s="3" customFormat="1" ht="12.5" customHeight="1">
      <c r="A41" s="897" t="str">
        <f t="shared" si="7"/>
        <v xml:space="preserve">Roggen  8% RP </v>
      </c>
      <c r="B41" s="298">
        <f>IF(D41=""," ",COUNTA($D$8:D41))</f>
        <v>34</v>
      </c>
      <c r="C41" s="327"/>
      <c r="D41" s="482" t="s">
        <v>45</v>
      </c>
      <c r="E41" s="620">
        <f t="shared" si="0"/>
        <v>8</v>
      </c>
      <c r="F41" s="319"/>
      <c r="G41" s="320" t="s">
        <v>553</v>
      </c>
      <c r="H41" s="321">
        <v>880</v>
      </c>
      <c r="I41" s="321">
        <v>80.099999999999994</v>
      </c>
      <c r="J41" s="321">
        <f>I41*0.78</f>
        <v>62.477999999999994</v>
      </c>
      <c r="K41" s="321">
        <v>24.6</v>
      </c>
      <c r="L41" s="381">
        <f>I41*0.0205*AV41+0.0398*AW41*AE41+0.0173*AF41+0.016*$AG41+0.0147*AI41</f>
        <v>13.198007920000002</v>
      </c>
      <c r="M41" s="322">
        <f>$I41*0.021503+0.032497*$AE41+0.016309*$AF41+0.014701*$AJ41-0.021071*$K41</f>
        <v>13.45970004</v>
      </c>
      <c r="N41" s="311">
        <f>IF(I41=0," ",I41*0.0272+0.87)</f>
        <v>3.0487199999999999</v>
      </c>
      <c r="O41" s="302">
        <f>IF(N41=" "," ",N41*0.8)</f>
        <v>2.4389760000000003</v>
      </c>
      <c r="P41" s="311">
        <f>IF(N41=" "," ",I41*0.033+0.51)</f>
        <v>3.1532999999999998</v>
      </c>
      <c r="Q41" s="302">
        <f>IF(N41=" "," ",P41*(1.5*0.85+2.1*0.9)/3.6)</f>
        <v>2.77227625</v>
      </c>
      <c r="R41" s="311">
        <f>IF(N41=" "," ",I41*0.0293+0.33)</f>
        <v>2.67693</v>
      </c>
      <c r="S41" s="302">
        <f>IF(N41=" "," ",R41*0.75)</f>
        <v>2.0076974999999999</v>
      </c>
      <c r="T41" s="311">
        <f>IF(N41=" "," ",I41*0.0082+0.24)</f>
        <v>0.89681999999999995</v>
      </c>
      <c r="U41" s="302">
        <f>IF(N41=" "," ",T41*0.78)</f>
        <v>0.69951960000000002</v>
      </c>
      <c r="V41" s="311">
        <v>0.5</v>
      </c>
      <c r="W41" s="311">
        <v>3</v>
      </c>
      <c r="X41" s="302">
        <f>W41*0.45</f>
        <v>1.35</v>
      </c>
      <c r="Y41" s="302">
        <f>W41*0.65</f>
        <v>1.9500000000000002</v>
      </c>
      <c r="Z41" s="311">
        <v>1</v>
      </c>
      <c r="AA41" s="322">
        <v>0.06</v>
      </c>
      <c r="AB41" s="323">
        <v>4.9000000000000004</v>
      </c>
      <c r="AC41" s="311">
        <f>IF($I41=""," ",$I41*0.0136+0.28)</f>
        <v>1.3693599999999999</v>
      </c>
      <c r="AD41" s="311">
        <f>AC41*0.85</f>
        <v>1.163956</v>
      </c>
      <c r="AE41" s="321">
        <v>15.8</v>
      </c>
      <c r="AF41" s="321">
        <v>535.70000000000005</v>
      </c>
      <c r="AG41" s="321">
        <v>55.4</v>
      </c>
      <c r="AH41" s="321">
        <f t="shared" si="28"/>
        <v>19.36</v>
      </c>
      <c r="AI41" s="612">
        <f>(H41-AH41)*AU41-I41*AV41-AE41*AW41-AF41-AG41</f>
        <v>107.96760000000003</v>
      </c>
      <c r="AJ41" s="321">
        <f>$H41-($AE41+$AF41+$AH41+$I41+$K41)</f>
        <v>204.43999999999994</v>
      </c>
      <c r="AK41" s="311">
        <f>AL41+AM41</f>
        <v>10.270000000000001</v>
      </c>
      <c r="AL41" s="311">
        <f>58*AE41/100</f>
        <v>9.1640000000000015</v>
      </c>
      <c r="AM41" s="311">
        <f>7*AE41/100</f>
        <v>1.1060000000000001</v>
      </c>
      <c r="AN41" s="321"/>
      <c r="AO41" s="321"/>
      <c r="AP41" s="321"/>
      <c r="AQ41" s="612">
        <f t="shared" si="1"/>
        <v>15.119099999999992</v>
      </c>
      <c r="AR41" s="847">
        <f t="shared" si="2"/>
        <v>258.92</v>
      </c>
      <c r="AS41" s="321">
        <f>AX41*K41+AY41*AT41-AF41-AG41</f>
        <v>105.1021999999999</v>
      </c>
      <c r="AT41" s="612">
        <f t="shared" si="29"/>
        <v>740.14</v>
      </c>
      <c r="AU41" s="852">
        <v>0.89</v>
      </c>
      <c r="AV41" s="852">
        <v>0.78</v>
      </c>
      <c r="AW41" s="852">
        <v>0.28000000000000003</v>
      </c>
      <c r="AX41" s="852">
        <v>0.32</v>
      </c>
      <c r="AY41" s="852">
        <v>0.93</v>
      </c>
      <c r="AZ41" s="303">
        <f>0.2*H41/1000</f>
        <v>0.17599999999999999</v>
      </c>
      <c r="BA41" s="321">
        <f>35/$H$38*H41*K41/$K$38</f>
        <v>37.865067466266865</v>
      </c>
      <c r="BB41" s="321">
        <f>235/$H$38*$H41*$K41/$K$38</f>
        <v>254.23688155922039</v>
      </c>
      <c r="BC41" s="381">
        <f t="shared" si="4"/>
        <v>15.478681029200002</v>
      </c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  <c r="DT41" s="277"/>
      <c r="DU41" s="277"/>
      <c r="DV41" s="277"/>
      <c r="DW41" s="277"/>
      <c r="DX41" s="277"/>
      <c r="DY41" s="277"/>
      <c r="DZ41" s="277"/>
      <c r="EA41" s="277"/>
      <c r="EB41" s="277"/>
      <c r="EC41" s="277"/>
      <c r="ED41" s="277"/>
      <c r="EE41" s="277"/>
      <c r="EF41" s="277"/>
      <c r="EG41" s="277"/>
      <c r="EH41" s="277"/>
      <c r="EI41" s="277"/>
      <c r="EJ41" s="277"/>
      <c r="EK41" s="277"/>
      <c r="EL41" s="277"/>
      <c r="EM41" s="277"/>
    </row>
    <row r="42" spans="1:143" s="4" customFormat="1" ht="12.5" customHeight="1">
      <c r="A42" s="897" t="str">
        <f>IF(E42=" ",D42&amp;" "&amp;F42,D42&amp;" "&amp;E42&amp;"% RP "&amp;F42)</f>
        <v xml:space="preserve">Triticale 12% RP </v>
      </c>
      <c r="B42" s="298">
        <f>IF(D42=""," ",COUNTA($D$8:D42))</f>
        <v>35</v>
      </c>
      <c r="C42" s="327"/>
      <c r="D42" s="482" t="s">
        <v>48</v>
      </c>
      <c r="E42" s="617">
        <f>IF(I42=0," ",ROUND(I42/10,0))</f>
        <v>12</v>
      </c>
      <c r="G42" s="320" t="s">
        <v>159</v>
      </c>
      <c r="H42" s="321">
        <v>880</v>
      </c>
      <c r="I42" s="321">
        <v>119.4</v>
      </c>
      <c r="J42" s="275">
        <f>I42*0.84</f>
        <v>100.29600000000001</v>
      </c>
      <c r="K42" s="321">
        <v>26.4</v>
      </c>
      <c r="L42" s="381">
        <f>I42*0.0205*AV42+0.0398*AW42*AE42+0.0173*AF42+0.016*$AG42+0.0147*AI42</f>
        <v>13.552366879999999</v>
      </c>
      <c r="M42" s="322">
        <f>$I42*0.021503+0.032497*$AE42+0.016309*$AF42+0.014701*$AJ42-0.021071*$K42</f>
        <v>13.702595360000002</v>
      </c>
      <c r="N42" s="311">
        <f>IF(I42=0," ",I42*0.0201+1.33)</f>
        <v>3.72994</v>
      </c>
      <c r="O42" s="302">
        <f>IF(N42=" "," ",N42*0.84)</f>
        <v>3.1331495999999999</v>
      </c>
      <c r="P42" s="311">
        <f>IF(N42=" "," ",I42*0.0292+1.05)</f>
        <v>4.5364800000000001</v>
      </c>
      <c r="Q42" s="302">
        <f t="shared" ref="Q42:Q50" si="32">IF(N42=" "," ",P42*(1.8*0.88+2.6*0.87)/4.4)</f>
        <v>3.9652959272727268</v>
      </c>
      <c r="R42" s="311">
        <f>IF(N42=" "," ",I42*0.0255+0.58)</f>
        <v>3.6246999999999998</v>
      </c>
      <c r="S42" s="302">
        <f>IF(N42=" "," ",R42*0.81)</f>
        <v>2.936007</v>
      </c>
      <c r="T42" s="311">
        <f>IF(N42=" "," ",I42*0.0072+0.4)</f>
        <v>1.2596799999999999</v>
      </c>
      <c r="U42" s="302">
        <f>IF(N42=" "," ",T42*0.77)</f>
        <v>0.96995359999999997</v>
      </c>
      <c r="V42" s="311">
        <v>0.4</v>
      </c>
      <c r="W42" s="311">
        <v>3.2</v>
      </c>
      <c r="X42" s="302">
        <f>W42*0.5</f>
        <v>1.6</v>
      </c>
      <c r="Y42" s="301">
        <f>W42*0.65</f>
        <v>2.08</v>
      </c>
      <c r="Z42" s="311">
        <v>1.1000000000000001</v>
      </c>
      <c r="AA42" s="322">
        <v>0.1</v>
      </c>
      <c r="AB42" s="323">
        <v>4.7</v>
      </c>
      <c r="AC42" s="311">
        <f>IF($I42=""," ",$I42*0.0132+0.35)</f>
        <v>1.9260800000000002</v>
      </c>
      <c r="AD42" s="311">
        <f>AC42*0.88</f>
        <v>1.6949504000000002</v>
      </c>
      <c r="AE42" s="321">
        <v>15.8</v>
      </c>
      <c r="AF42" s="321">
        <v>568.6</v>
      </c>
      <c r="AG42" s="321">
        <v>35.200000000000003</v>
      </c>
      <c r="AH42" s="321">
        <f t="shared" ref="AH42:AH50" si="33">23*0.88</f>
        <v>20.239999999999998</v>
      </c>
      <c r="AI42" s="612">
        <f>(H42-AH42)*AU42-I42*AV42-AE42*AW42-AF42-AG42</f>
        <v>53.190399999999997</v>
      </c>
      <c r="AJ42" s="321">
        <f>$H42-($AE42+$AF42+$AH42+$I42+$K42)</f>
        <v>129.56000000000006</v>
      </c>
      <c r="AK42" s="311">
        <f>AL42+AM42</f>
        <v>10.033000000000001</v>
      </c>
      <c r="AL42" s="311">
        <f>57.5*AE42/100</f>
        <v>9.0850000000000009</v>
      </c>
      <c r="AM42" s="311">
        <f>6*AE42/100</f>
        <v>0.94800000000000006</v>
      </c>
      <c r="AN42" s="321"/>
      <c r="AO42" s="321"/>
      <c r="AP42" s="321"/>
      <c r="AQ42" s="612">
        <f>IF(H42="","",50*V42+83*Z42+26*AB42+44*AA42-59*W42-13*P42-28*AZ42)</f>
        <v>-22.194240000000008</v>
      </c>
      <c r="AR42" s="847">
        <f>IF(H42="","",V42/1000*20140+Z42/1000*48600+1100/440*I42)</f>
        <v>360.01600000000002</v>
      </c>
      <c r="AS42" s="321">
        <f>AX42*K42+AY42*AT42-AF42-AG42</f>
        <v>52.616800000000168</v>
      </c>
      <c r="AT42" s="612">
        <f t="shared" si="29"/>
        <v>698.16000000000008</v>
      </c>
      <c r="AU42" s="852">
        <v>0.89</v>
      </c>
      <c r="AV42" s="852">
        <v>0.84</v>
      </c>
      <c r="AW42" s="852">
        <v>0.5</v>
      </c>
      <c r="AX42" s="852">
        <v>0.27</v>
      </c>
      <c r="AY42" s="852">
        <v>0.93</v>
      </c>
      <c r="AZ42" s="303">
        <f>0.5*H42/1000</f>
        <v>0.44</v>
      </c>
      <c r="BA42" s="321">
        <f>IF($I42=0," ",$BA$43*$H42/$H$43*K42/$K$43)</f>
        <v>38.94252873563218</v>
      </c>
      <c r="BB42" s="321">
        <f>IF($I42=0," ",$BB$43*$H42/$H$43*K42/$K$43)</f>
        <v>174.68505747126434</v>
      </c>
      <c r="BC42" s="381">
        <f t="shared" si="4"/>
        <v>14.975294612800003</v>
      </c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7"/>
      <c r="EE42" s="277"/>
      <c r="EF42" s="277"/>
      <c r="EG42" s="277"/>
      <c r="EH42" s="277"/>
      <c r="EI42" s="277"/>
      <c r="EJ42" s="277"/>
      <c r="EK42" s="277"/>
      <c r="EL42" s="277"/>
      <c r="EM42" s="277"/>
    </row>
    <row r="43" spans="1:143" s="3" customFormat="1" ht="12.5" customHeight="1">
      <c r="A43" s="897" t="str">
        <f t="shared" si="7"/>
        <v>Triticale 11% RP DLG 2014</v>
      </c>
      <c r="B43" s="298">
        <f>IF(D43=""," ",COUNTA($D$8:D43))</f>
        <v>36</v>
      </c>
      <c r="C43" s="327"/>
      <c r="D43" s="479" t="s">
        <v>48</v>
      </c>
      <c r="E43" s="617">
        <f t="shared" si="0"/>
        <v>11</v>
      </c>
      <c r="F43" s="319" t="s">
        <v>969</v>
      </c>
      <c r="G43" s="300"/>
      <c r="H43" s="275">
        <v>870</v>
      </c>
      <c r="I43" s="275">
        <v>109</v>
      </c>
      <c r="J43" s="275">
        <f>I43*0.84</f>
        <v>91.56</v>
      </c>
      <c r="K43" s="275">
        <v>24</v>
      </c>
      <c r="L43" s="381">
        <f>I43*0.0205*AV43+0.0398*AW43*AE43+0.0173*AF43+0.016*$AG43+0.0147*AI43</f>
        <v>13.375314000000001</v>
      </c>
      <c r="M43" s="322">
        <f>$I43*0.021503+0.032497*$AE43+0.016309*$AF43+0.014701*$AJ43-0.021071*$K43</f>
        <v>13.577170000000001</v>
      </c>
      <c r="N43" s="274">
        <f>IF(I43=0," ",I43*0.0201+1.33)</f>
        <v>3.5209000000000001</v>
      </c>
      <c r="O43" s="302">
        <f t="shared" ref="O43:O50" si="34">IF(N43=" "," ",N43*0.84)</f>
        <v>2.9575559999999999</v>
      </c>
      <c r="P43" s="274">
        <f>IF(N43=" "," ",I43*0.0292+1.05)</f>
        <v>4.2328000000000001</v>
      </c>
      <c r="Q43" s="302">
        <f t="shared" si="32"/>
        <v>3.6998519999999999</v>
      </c>
      <c r="R43" s="274">
        <f>IF(N43=" "," ",I43*0.0255+0.58)</f>
        <v>3.3594999999999997</v>
      </c>
      <c r="S43" s="302">
        <f t="shared" ref="S43:S50" si="35">IF(N43=" "," ",R43*0.81)</f>
        <v>2.7211949999999998</v>
      </c>
      <c r="T43" s="274">
        <f>IF(N43=" "," ",I43*0.0072+0.4)</f>
        <v>1.1848000000000001</v>
      </c>
      <c r="U43" s="302">
        <f t="shared" ref="U43:U50" si="36">IF(N43=" "," ",T43*0.77)</f>
        <v>0.91229600000000011</v>
      </c>
      <c r="V43" s="274">
        <v>0.4</v>
      </c>
      <c r="W43" s="274">
        <v>3.2</v>
      </c>
      <c r="X43" s="302">
        <f t="shared" ref="X43:X49" si="37">W43*0.5</f>
        <v>1.6</v>
      </c>
      <c r="Y43" s="301">
        <f>W43*0.65</f>
        <v>2.08</v>
      </c>
      <c r="Z43" s="274">
        <v>1.1000000000000001</v>
      </c>
      <c r="AA43" s="303">
        <v>0.1</v>
      </c>
      <c r="AB43" s="276">
        <v>4.7</v>
      </c>
      <c r="AC43" s="311">
        <f>IF($I43=""," ",$I43*0.0132+0.35)</f>
        <v>1.7888000000000002</v>
      </c>
      <c r="AD43" s="311">
        <f>AC43*0.88</f>
        <v>1.5741440000000002</v>
      </c>
      <c r="AE43" s="321">
        <v>15</v>
      </c>
      <c r="AF43" s="321">
        <v>561</v>
      </c>
      <c r="AG43" s="321">
        <v>39</v>
      </c>
      <c r="AH43" s="321">
        <v>18</v>
      </c>
      <c r="AI43" s="612">
        <f>(H43-AH43)*AU43-I43*AV43-AE43*AW43-AF43-AG43</f>
        <v>59.220000000000027</v>
      </c>
      <c r="AJ43" s="321">
        <f>$H43-($AE43+$AF43+$AH43+$I43+$K43)</f>
        <v>143</v>
      </c>
      <c r="AK43" s="311">
        <f>AL43+AM43</f>
        <v>9.5250000000000004</v>
      </c>
      <c r="AL43" s="311">
        <f>57.5*AE43/100</f>
        <v>8.625</v>
      </c>
      <c r="AM43" s="311">
        <f>6*AE43/100</f>
        <v>0.9</v>
      </c>
      <c r="AN43" s="321"/>
      <c r="AO43" s="321"/>
      <c r="AP43" s="321"/>
      <c r="AQ43" s="612">
        <f t="shared" si="1"/>
        <v>-18.106400000000008</v>
      </c>
      <c r="AR43" s="847">
        <f t="shared" si="2"/>
        <v>334.01600000000002</v>
      </c>
      <c r="AS43" s="321">
        <f>AX43*K43+AY43*AT43-AF43-AG43</f>
        <v>61.200000000000045</v>
      </c>
      <c r="AT43" s="612">
        <f t="shared" si="29"/>
        <v>704</v>
      </c>
      <c r="AU43" s="852">
        <v>0.89</v>
      </c>
      <c r="AV43" s="852">
        <v>0.84</v>
      </c>
      <c r="AW43" s="852">
        <v>0.5</v>
      </c>
      <c r="AX43" s="852">
        <v>0.27</v>
      </c>
      <c r="AY43" s="852">
        <v>0.93</v>
      </c>
      <c r="AZ43" s="303">
        <f>0.5*H43/1000</f>
        <v>0.435</v>
      </c>
      <c r="BA43" s="321">
        <v>35</v>
      </c>
      <c r="BB43" s="321">
        <v>157</v>
      </c>
      <c r="BC43" s="381">
        <f t="shared" si="4"/>
        <v>15.1153341</v>
      </c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7"/>
      <c r="DS43" s="277"/>
      <c r="DT43" s="277"/>
      <c r="DU43" s="277"/>
      <c r="DV43" s="277"/>
      <c r="DW43" s="277"/>
      <c r="DX43" s="277"/>
      <c r="DY43" s="277"/>
      <c r="DZ43" s="277"/>
      <c r="EA43" s="277"/>
      <c r="EB43" s="277"/>
      <c r="EC43" s="277"/>
      <c r="ED43" s="277"/>
      <c r="EE43" s="277"/>
      <c r="EF43" s="277"/>
      <c r="EG43" s="277"/>
      <c r="EH43" s="277"/>
      <c r="EI43" s="277"/>
      <c r="EJ43" s="277"/>
      <c r="EK43" s="277"/>
      <c r="EL43" s="277"/>
      <c r="EM43" s="277"/>
    </row>
    <row r="44" spans="1:143" s="3" customFormat="1" ht="12.5" customHeight="1">
      <c r="A44" s="897" t="str">
        <f t="shared" si="7"/>
        <v>eigene Triticale 10% RP Ø 2016</v>
      </c>
      <c r="B44" s="298">
        <f>IF(D44=""," ",COUNTA($D$8:D44))</f>
        <v>37</v>
      </c>
      <c r="C44" s="327"/>
      <c r="D44" s="480" t="s">
        <v>291</v>
      </c>
      <c r="E44" s="619">
        <f t="shared" si="0"/>
        <v>10</v>
      </c>
      <c r="F44" s="306" t="str">
        <f>IF(I44=97.2,"Ø 2016","")</f>
        <v>Ø 2016</v>
      </c>
      <c r="G44" s="305"/>
      <c r="H44" s="91">
        <v>880</v>
      </c>
      <c r="I44" s="91">
        <v>97.2</v>
      </c>
      <c r="J44" s="306">
        <f>IF(I44=0," ",I44*0.84)</f>
        <v>81.647999999999996</v>
      </c>
      <c r="K44" s="91">
        <v>26.4</v>
      </c>
      <c r="L44" s="988">
        <f>IF($I44=""," ",I44*0.0205*AV44+0.0398*AW44*AE44+0.0173*AF44+0.016*$AG44+0.0147*AI44)</f>
        <v>13.528545100000001</v>
      </c>
      <c r="M44" s="988">
        <f>IF(I44=""," ",$I44*0.021503+0.032497*$AE44+0.016309*$AF44+0.014701*$AJ44-0.021071*$K44)</f>
        <v>13.6059199</v>
      </c>
      <c r="N44" s="307">
        <f>IF(I44=0," ",(I44/H44*880*0.0201+1.33)/880*H44)</f>
        <v>3.2837200000000002</v>
      </c>
      <c r="O44" s="308">
        <f t="shared" si="34"/>
        <v>2.7583248</v>
      </c>
      <c r="P44" s="307">
        <f>IF(N44=" "," ",(I44/H44*880*0.0292+1.05)/880*H44)</f>
        <v>3.8882400000000001</v>
      </c>
      <c r="Q44" s="308">
        <f t="shared" si="32"/>
        <v>3.3986752363636361</v>
      </c>
      <c r="R44" s="307">
        <f>IF(N44=" "," ",(I44/H44*880*0.0255+0.58)/880*H44)</f>
        <v>3.0585999999999998</v>
      </c>
      <c r="S44" s="308">
        <f t="shared" si="35"/>
        <v>2.4774660000000002</v>
      </c>
      <c r="T44" s="307">
        <f>IF(N44=" "," ",(I44/H44*880*0.0072+0.4)/880*H44)</f>
        <v>1.0998399999999999</v>
      </c>
      <c r="U44" s="308">
        <f t="shared" si="36"/>
        <v>0.84687679999999999</v>
      </c>
      <c r="V44" s="307">
        <f>IF($I44=0," ",V$42*$H44/$H$42)</f>
        <v>0.4</v>
      </c>
      <c r="W44" s="307">
        <f>IF($I44=0," ",W$42*$H44/$H$42)</f>
        <v>3.2</v>
      </c>
      <c r="X44" s="307">
        <f t="shared" si="37"/>
        <v>1.6</v>
      </c>
      <c r="Y44" s="307">
        <f t="shared" ref="Y44:AB45" si="38">IF($I44=0," ",Y$42*$H44/$H$42)</f>
        <v>2.08</v>
      </c>
      <c r="Z44" s="307">
        <f t="shared" si="38"/>
        <v>1.1000000000000001</v>
      </c>
      <c r="AA44" s="309">
        <f t="shared" si="38"/>
        <v>0.1</v>
      </c>
      <c r="AB44" s="310">
        <f t="shared" si="38"/>
        <v>4.7</v>
      </c>
      <c r="AC44" s="307">
        <f>IF($I44=""," ",($I44/H44*880*0.0132+0.35)/880*H44)</f>
        <v>1.6330399999999998</v>
      </c>
      <c r="AD44" s="307">
        <f>IF($N44=" "," ",AC44*0.88)</f>
        <v>1.4370751999999998</v>
      </c>
      <c r="AE44" s="92">
        <v>15.9</v>
      </c>
      <c r="AF44" s="92">
        <v>600</v>
      </c>
      <c r="AG44" s="92">
        <v>34.9</v>
      </c>
      <c r="AH44" s="92">
        <v>20.100000000000001</v>
      </c>
      <c r="AI44" s="306">
        <f>IF($I44=""," ",(H44-AH44)*AU44-I44*AV44-AE44*AW44-AF44-AG44)</f>
        <v>40.812999999999967</v>
      </c>
      <c r="AJ44" s="306">
        <f>IF($I44=""," ",$H44-($AE44+$AF44+$AH44+$I44+$K44))</f>
        <v>120.39999999999998</v>
      </c>
      <c r="AK44" s="307">
        <f t="shared" ref="AK44:AP44" si="39">IF($I44=0," ",AK42*$H44/$H42)</f>
        <v>10.033000000000001</v>
      </c>
      <c r="AL44" s="307">
        <f t="shared" si="39"/>
        <v>9.0850000000000009</v>
      </c>
      <c r="AM44" s="307">
        <f t="shared" si="39"/>
        <v>0.94800000000000006</v>
      </c>
      <c r="AN44" s="306">
        <f t="shared" si="39"/>
        <v>0</v>
      </c>
      <c r="AO44" s="306">
        <f t="shared" si="39"/>
        <v>0</v>
      </c>
      <c r="AP44" s="306">
        <f t="shared" si="39"/>
        <v>0</v>
      </c>
      <c r="AQ44" s="306">
        <f t="shared" si="1"/>
        <v>-13.767120000000006</v>
      </c>
      <c r="AR44" s="306">
        <f t="shared" si="2"/>
        <v>304.51600000000002</v>
      </c>
      <c r="AS44" s="306">
        <f>IF($I44=0," ",AX44*K44+AY44*AT44-AF44-AG44)</f>
        <v>42.200000000000024</v>
      </c>
      <c r="AT44" s="92">
        <f t="shared" si="29"/>
        <v>720.4</v>
      </c>
      <c r="AU44" s="853">
        <f>IF($I44=0," ",AU42)</f>
        <v>0.89</v>
      </c>
      <c r="AV44" s="853">
        <f>IF($I44=0," ",AV42)</f>
        <v>0.84</v>
      </c>
      <c r="AW44" s="853">
        <f>IF($I44=0," ",AW42)</f>
        <v>0.5</v>
      </c>
      <c r="AX44" s="853">
        <f>IF($I44=0," ",AX42)</f>
        <v>0.27</v>
      </c>
      <c r="AY44" s="853">
        <f>IF($I44=0," ",AY42)</f>
        <v>0.93</v>
      </c>
      <c r="AZ44" s="309">
        <f>IF($I44=0," ",AZ$42*$H44/$H$42)</f>
        <v>0.44</v>
      </c>
      <c r="BA44" s="92">
        <f t="shared" ref="BA44:BA50" si="40">IF($I44=0," ",$BA$43*$H44/$H$43*K44/$K$43)</f>
        <v>38.94252873563218</v>
      </c>
      <c r="BB44" s="92">
        <f t="shared" ref="BB44:BB50" si="41">IF($I44=0," ",$BB$43*$H44/$H$43*K44/$K$43)</f>
        <v>174.68505747126434</v>
      </c>
      <c r="BC44" s="988">
        <f t="shared" si="4"/>
        <v>16.002821526999998</v>
      </c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</row>
    <row r="45" spans="1:143" s="3" customFormat="1" ht="12.5" customHeight="1">
      <c r="A45" s="897" t="str">
        <f t="shared" si="7"/>
        <v>eigene Triticale 10% RP Ø 2015</v>
      </c>
      <c r="B45" s="298">
        <f>IF(D45=""," ",COUNTA($D$8:D45))</f>
        <v>38</v>
      </c>
      <c r="C45" s="327"/>
      <c r="D45" s="480" t="s">
        <v>291</v>
      </c>
      <c r="E45" s="619">
        <f>IF(I45=0," ",ROUND(I45/10,0))</f>
        <v>10</v>
      </c>
      <c r="F45" s="306" t="str">
        <f>IF(I45=97.18,"Ø 2015","")</f>
        <v>Ø 2015</v>
      </c>
      <c r="G45" s="305"/>
      <c r="H45" s="91">
        <v>880</v>
      </c>
      <c r="I45" s="91">
        <v>97.18</v>
      </c>
      <c r="J45" s="306">
        <f>IF(I45=0," ",I45*0.84)</f>
        <v>81.631200000000007</v>
      </c>
      <c r="K45" s="91">
        <v>26.4</v>
      </c>
      <c r="L45" s="988">
        <f>IF($I45=""," ",I45*0.0205*AV45+0.0398*AW45*AE45+0.0173*AF45+0.016*$AG45+0.0147*AI45)</f>
        <v>13.516105079999999</v>
      </c>
      <c r="M45" s="988">
        <f>IF(I45=""," ",$I45*0.021503+0.032497*$AE45+0.016309*$AF45+0.014701*$AJ45-0.021071*$K45)</f>
        <v>13.608028480000002</v>
      </c>
      <c r="N45" s="307">
        <f>IF(I45=0," ",(I45/H45*880*0.0201+1.33)/880*H45)</f>
        <v>3.2833180000000004</v>
      </c>
      <c r="O45" s="308">
        <f>IF(N45=" "," ",N45*0.84)</f>
        <v>2.7579871200000001</v>
      </c>
      <c r="P45" s="307">
        <f>IF(N45=" "," ",(I45/H45*880*0.0292+1.05)/880*H45)</f>
        <v>3.8876560000000007</v>
      </c>
      <c r="Q45" s="308">
        <f t="shared" si="32"/>
        <v>3.3981647672727275</v>
      </c>
      <c r="R45" s="307">
        <f>IF(N45=" "," ",(I45/H45*880*0.0255+0.58)/880*H45)</f>
        <v>3.05809</v>
      </c>
      <c r="S45" s="308">
        <f>IF(N45=" "," ",R45*0.81)</f>
        <v>2.4770529000000003</v>
      </c>
      <c r="T45" s="307">
        <f>IF(N45=" "," ",(I45/H45*880*0.0072+0.4)/880*H45)</f>
        <v>1.099696</v>
      </c>
      <c r="U45" s="308">
        <f>IF(N45=" "," ",T45*0.77)</f>
        <v>0.84676592000000006</v>
      </c>
      <c r="V45" s="307">
        <f>IF($I45=0," ",V$42*$H45/$H$42)</f>
        <v>0.4</v>
      </c>
      <c r="W45" s="307">
        <f>IF($I45=0," ",W$42*$H45/$H$42)</f>
        <v>3.2</v>
      </c>
      <c r="X45" s="307">
        <f t="shared" si="37"/>
        <v>1.6</v>
      </c>
      <c r="Y45" s="307">
        <f t="shared" si="38"/>
        <v>2.08</v>
      </c>
      <c r="Z45" s="307">
        <f t="shared" si="38"/>
        <v>1.1000000000000001</v>
      </c>
      <c r="AA45" s="309">
        <f t="shared" si="38"/>
        <v>0.1</v>
      </c>
      <c r="AB45" s="310">
        <f t="shared" si="38"/>
        <v>4.7</v>
      </c>
      <c r="AC45" s="307">
        <f>IF($I45=""," ",($I45/H45*880*0.0132+0.35)/880*H45)</f>
        <v>1.6327760000000002</v>
      </c>
      <c r="AD45" s="307">
        <f>IF($N45=" "," ",AC45*0.88)</f>
        <v>1.4368428800000002</v>
      </c>
      <c r="AE45" s="92">
        <v>16.28</v>
      </c>
      <c r="AF45" s="92">
        <v>590.42499999999995</v>
      </c>
      <c r="AG45" s="92">
        <v>33.44</v>
      </c>
      <c r="AH45" s="92">
        <v>19.36</v>
      </c>
      <c r="AI45" s="306">
        <f>IF($I45=""," ",(H45-AH45)*AU45-I45*AV45-AE45*AW45-AF45-AG45)</f>
        <v>52.33340000000004</v>
      </c>
      <c r="AJ45" s="306">
        <f>IF($I45=""," ",$H45-($AE45+$AF45+$AH45+$I45+$K45))</f>
        <v>130.35500000000013</v>
      </c>
      <c r="AK45" s="307">
        <f t="shared" ref="AK45:AP45" si="42">IF($I45=0," ",AK44*$H45/$H44)</f>
        <v>10.033000000000001</v>
      </c>
      <c r="AL45" s="307">
        <f t="shared" si="42"/>
        <v>9.0850000000000009</v>
      </c>
      <c r="AM45" s="307">
        <f t="shared" si="42"/>
        <v>0.94800000000000006</v>
      </c>
      <c r="AN45" s="306">
        <f t="shared" si="42"/>
        <v>0</v>
      </c>
      <c r="AO45" s="306">
        <f t="shared" si="42"/>
        <v>0</v>
      </c>
      <c r="AP45" s="306">
        <f t="shared" si="42"/>
        <v>0</v>
      </c>
      <c r="AQ45" s="306">
        <f>IF(H45="","",50*V45+83*Z45+26*AB45+44*AA45-59*W45-13*P45-28*AZ45)</f>
        <v>-13.759528000000017</v>
      </c>
      <c r="AR45" s="306">
        <f>IF(H45="","",V45/1000*20140+Z45/1000*48600+1100/440*I45)</f>
        <v>304.46600000000001</v>
      </c>
      <c r="AS45" s="306">
        <f>IF($I45=0," ",AX45*K45+AY45*AT45-AF45-AG45)</f>
        <v>53.588400000000149</v>
      </c>
      <c r="AT45" s="92">
        <f t="shared" si="29"/>
        <v>720.78</v>
      </c>
      <c r="AU45" s="853">
        <f>IF($I45=0," ",AU44)</f>
        <v>0.89</v>
      </c>
      <c r="AV45" s="853">
        <f>IF($I45=0," ",AV44)</f>
        <v>0.84</v>
      </c>
      <c r="AW45" s="853">
        <f>IF($I45=0," ",AW44)</f>
        <v>0.5</v>
      </c>
      <c r="AX45" s="853">
        <f>IF($I45=0," ",AX44)</f>
        <v>0.27</v>
      </c>
      <c r="AY45" s="853">
        <f>IF($I45=0," ",AY44)</f>
        <v>0.93</v>
      </c>
      <c r="AZ45" s="309">
        <f>IF($I45=0," ",AZ$42*$H45/$H$42)</f>
        <v>0.44</v>
      </c>
      <c r="BA45" s="92">
        <f t="shared" si="40"/>
        <v>38.94252873563218</v>
      </c>
      <c r="BB45" s="92">
        <f t="shared" si="41"/>
        <v>174.68505747126434</v>
      </c>
      <c r="BC45" s="988">
        <f t="shared" si="4"/>
        <v>15.882195790399997</v>
      </c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</row>
    <row r="46" spans="1:143" s="4" customFormat="1" ht="12.5" customHeight="1">
      <c r="A46" s="897" t="str">
        <f t="shared" si="7"/>
        <v xml:space="preserve">Triticale 11% RP </v>
      </c>
      <c r="B46" s="298">
        <f>IF(D46=""," ",COUNTA($D$8:D46))</f>
        <v>39</v>
      </c>
      <c r="C46" s="327"/>
      <c r="D46" s="482" t="s">
        <v>48</v>
      </c>
      <c r="E46" s="620">
        <f t="shared" si="0"/>
        <v>11</v>
      </c>
      <c r="F46" s="319"/>
      <c r="G46" s="320" t="s">
        <v>66</v>
      </c>
      <c r="H46" s="321">
        <v>880</v>
      </c>
      <c r="I46" s="321">
        <v>108.2</v>
      </c>
      <c r="J46" s="321">
        <f>I46*0.84</f>
        <v>90.888000000000005</v>
      </c>
      <c r="K46" s="321">
        <v>26.4</v>
      </c>
      <c r="L46" s="381">
        <f t="shared" ref="L46:L55" si="43">I46*0.0205*AV46+0.0398*AW46*AE46+0.0173*AF46+0.016*$AG46+0.0147*AI46</f>
        <v>13.490000479999999</v>
      </c>
      <c r="M46" s="322">
        <f>$I46*0.021503+0.032497*$AE46+0.016309*$AF46+0.014701*$AJ46-0.021071*$K46</f>
        <v>13.621588960000002</v>
      </c>
      <c r="N46" s="311">
        <f>IF(I46=0," ",I46*0.0201+1.33)</f>
        <v>3.50482</v>
      </c>
      <c r="O46" s="302">
        <f t="shared" si="34"/>
        <v>2.9440488</v>
      </c>
      <c r="P46" s="311">
        <f>IF(N46=" "," ",I46*0.0292+1.05)</f>
        <v>4.2094399999999998</v>
      </c>
      <c r="Q46" s="302">
        <f t="shared" si="32"/>
        <v>3.6794332363636362</v>
      </c>
      <c r="R46" s="311">
        <f>IF(N46=" "," ",I46*0.0255+0.58)</f>
        <v>3.3391000000000002</v>
      </c>
      <c r="S46" s="302">
        <f t="shared" si="35"/>
        <v>2.7046710000000003</v>
      </c>
      <c r="T46" s="311">
        <f>IF(N46=" "," ",I46*0.0072+0.4)</f>
        <v>1.1790400000000001</v>
      </c>
      <c r="U46" s="302">
        <f t="shared" si="36"/>
        <v>0.90786080000000013</v>
      </c>
      <c r="V46" s="311">
        <v>0.4</v>
      </c>
      <c r="W46" s="311">
        <v>3.2</v>
      </c>
      <c r="X46" s="311">
        <f t="shared" si="37"/>
        <v>1.6</v>
      </c>
      <c r="Y46" s="302">
        <f t="shared" ref="Y46:Y55" si="44">W46*0.65</f>
        <v>2.08</v>
      </c>
      <c r="Z46" s="311">
        <v>1.1000000000000001</v>
      </c>
      <c r="AA46" s="322">
        <v>0.1</v>
      </c>
      <c r="AB46" s="323">
        <v>4.7</v>
      </c>
      <c r="AC46" s="311">
        <f>IF($I46=""," ",$I46*0.0132+0.35)</f>
        <v>1.7782399999999998</v>
      </c>
      <c r="AD46" s="311">
        <f t="shared" ref="AD46:AD62" si="45">AC46*0.88</f>
        <v>1.5648511999999999</v>
      </c>
      <c r="AE46" s="321">
        <v>15.8</v>
      </c>
      <c r="AF46" s="321">
        <v>565.6</v>
      </c>
      <c r="AG46" s="321">
        <v>35.200000000000003</v>
      </c>
      <c r="AH46" s="321">
        <f t="shared" si="33"/>
        <v>20.239999999999998</v>
      </c>
      <c r="AI46" s="612">
        <f t="shared" ref="AI46:AI55" si="46">(H46-AH46)*AU46-I46*AV46-AE46*AW46-AF46-AG46</f>
        <v>65.598400000000012</v>
      </c>
      <c r="AJ46" s="321">
        <f t="shared" ref="AJ46:AJ52" si="47">$H46-($AE46+$AF46+$AH46+$I46+$K46)</f>
        <v>143.76</v>
      </c>
      <c r="AK46" s="311">
        <f t="shared" ref="AK46:AK55" si="48">AL46+AM46</f>
        <v>10.033000000000001</v>
      </c>
      <c r="AL46" s="311">
        <f>57.5*AE46/100</f>
        <v>9.0850000000000009</v>
      </c>
      <c r="AM46" s="311">
        <f>6*AE46/100</f>
        <v>0.94800000000000006</v>
      </c>
      <c r="AN46" s="321"/>
      <c r="AO46" s="321"/>
      <c r="AP46" s="321"/>
      <c r="AQ46" s="612">
        <f t="shared" si="1"/>
        <v>-17.942720000000001</v>
      </c>
      <c r="AR46" s="847">
        <f t="shared" si="2"/>
        <v>332.01600000000002</v>
      </c>
      <c r="AS46" s="321">
        <f t="shared" ref="AS46:AS55" si="49">AX46*K46+AY46*AT46-AF46-AG46</f>
        <v>66.032800000000108</v>
      </c>
      <c r="AT46" s="321">
        <f t="shared" si="29"/>
        <v>709.36</v>
      </c>
      <c r="AU46" s="852">
        <v>0.89</v>
      </c>
      <c r="AV46" s="852">
        <v>0.84</v>
      </c>
      <c r="AW46" s="852">
        <v>0.5</v>
      </c>
      <c r="AX46" s="852">
        <v>0.27</v>
      </c>
      <c r="AY46" s="852">
        <v>0.93</v>
      </c>
      <c r="AZ46" s="303">
        <f>0.5*H46/1000</f>
        <v>0.44</v>
      </c>
      <c r="BA46" s="321">
        <f t="shared" si="40"/>
        <v>38.94252873563218</v>
      </c>
      <c r="BB46" s="321">
        <f t="shared" si="41"/>
        <v>174.68505747126434</v>
      </c>
      <c r="BC46" s="381">
        <f t="shared" si="4"/>
        <v>15.184759940799999</v>
      </c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7"/>
      <c r="DO46" s="277"/>
      <c r="DP46" s="277"/>
      <c r="DQ46" s="277"/>
      <c r="DR46" s="277"/>
      <c r="DS46" s="277"/>
      <c r="DT46" s="277"/>
      <c r="DU46" s="277"/>
      <c r="DV46" s="277"/>
      <c r="DW46" s="277"/>
      <c r="DX46" s="277"/>
      <c r="DY46" s="277"/>
      <c r="DZ46" s="277"/>
      <c r="EA46" s="277"/>
      <c r="EB46" s="277"/>
      <c r="EC46" s="277"/>
      <c r="ED46" s="277"/>
      <c r="EE46" s="277"/>
      <c r="EF46" s="277"/>
      <c r="EG46" s="277"/>
      <c r="EH46" s="277"/>
      <c r="EI46" s="277"/>
      <c r="EJ46" s="277"/>
      <c r="EK46" s="277"/>
      <c r="EL46" s="277"/>
      <c r="EM46" s="277"/>
    </row>
    <row r="47" spans="1:143" s="3" customFormat="1" ht="12.5" customHeight="1">
      <c r="A47" s="897" t="str">
        <f t="shared" si="7"/>
        <v xml:space="preserve">Triticale 10% RP </v>
      </c>
      <c r="B47" s="298">
        <f>IF(D47=""," ",COUNTA($D$8:D47))</f>
        <v>40</v>
      </c>
      <c r="C47" s="327"/>
      <c r="D47" s="481" t="s">
        <v>48</v>
      </c>
      <c r="E47" s="618">
        <f t="shared" si="0"/>
        <v>10</v>
      </c>
      <c r="F47" s="312"/>
      <c r="G47" s="313" t="s">
        <v>65</v>
      </c>
      <c r="H47" s="314">
        <v>880</v>
      </c>
      <c r="I47" s="314">
        <v>99.5</v>
      </c>
      <c r="J47" s="314">
        <f>I47*0.84</f>
        <v>83.58</v>
      </c>
      <c r="K47" s="314">
        <v>26.4</v>
      </c>
      <c r="L47" s="317">
        <f t="shared" si="43"/>
        <v>13.46355908</v>
      </c>
      <c r="M47" s="317">
        <f>$I47*0.021503+0.032497*$AE47+0.016309*$AF47+0.014701*$AJ47-0.021071*$K47</f>
        <v>13.573356760000003</v>
      </c>
      <c r="N47" s="315">
        <f>IF(I47=0," ",I47*0.0201+1.33)</f>
        <v>3.3299500000000002</v>
      </c>
      <c r="O47" s="316">
        <f t="shared" si="34"/>
        <v>2.797158</v>
      </c>
      <c r="P47" s="315">
        <f>IF(N47=" "," ",I47*0.0292+1.05)</f>
        <v>3.9554</v>
      </c>
      <c r="Q47" s="316">
        <f t="shared" si="32"/>
        <v>3.4573791818181818</v>
      </c>
      <c r="R47" s="315">
        <f>IF(N47=" "," ",I47*0.0255+0.58)</f>
        <v>3.1172499999999999</v>
      </c>
      <c r="S47" s="316">
        <f t="shared" si="35"/>
        <v>2.5249725000000001</v>
      </c>
      <c r="T47" s="315">
        <f>IF(N47=" "," ",I47*0.0072+0.4)</f>
        <v>1.1164000000000001</v>
      </c>
      <c r="U47" s="316">
        <f t="shared" si="36"/>
        <v>0.85962800000000006</v>
      </c>
      <c r="V47" s="315">
        <v>0.4</v>
      </c>
      <c r="W47" s="315">
        <v>3.2</v>
      </c>
      <c r="X47" s="315">
        <f t="shared" si="37"/>
        <v>1.6</v>
      </c>
      <c r="Y47" s="316">
        <f t="shared" si="44"/>
        <v>2.08</v>
      </c>
      <c r="Z47" s="315">
        <v>1.1000000000000001</v>
      </c>
      <c r="AA47" s="317">
        <v>0.1</v>
      </c>
      <c r="AB47" s="318">
        <v>4.7</v>
      </c>
      <c r="AC47" s="315">
        <f>IF($I47=""," ",$I47*0.0132+0.35)</f>
        <v>1.6633999999999998</v>
      </c>
      <c r="AD47" s="315">
        <f t="shared" si="45"/>
        <v>1.4637919999999998</v>
      </c>
      <c r="AE47" s="314">
        <v>15.9</v>
      </c>
      <c r="AF47" s="314">
        <v>571.29999999999995</v>
      </c>
      <c r="AG47" s="314">
        <v>35.1</v>
      </c>
      <c r="AH47" s="314">
        <f t="shared" si="33"/>
        <v>20.239999999999998</v>
      </c>
      <c r="AI47" s="314">
        <f t="shared" si="46"/>
        <v>67.256400000000014</v>
      </c>
      <c r="AJ47" s="314">
        <f t="shared" si="47"/>
        <v>146.66000000000008</v>
      </c>
      <c r="AK47" s="315">
        <f t="shared" si="48"/>
        <v>10.096500000000001</v>
      </c>
      <c r="AL47" s="315">
        <f>57.5*AE47/100</f>
        <v>9.1425000000000001</v>
      </c>
      <c r="AM47" s="315">
        <f>6*AE47/100</f>
        <v>0.95400000000000007</v>
      </c>
      <c r="AN47" s="314"/>
      <c r="AO47" s="314"/>
      <c r="AP47" s="314"/>
      <c r="AQ47" s="314">
        <f t="shared" ref="AQ47:AQ69" si="50">IF(H47="","",50*V47+83*Z47+26*AB47+44*AA47-59*W47-13*P47-28*AZ47)</f>
        <v>-14.640200000000007</v>
      </c>
      <c r="AR47" s="314">
        <f t="shared" ref="AR47:AR69" si="51">IF(H47="","",V47/1000*20140+Z47/1000*48600+1100/440*I47)</f>
        <v>310.26600000000002</v>
      </c>
      <c r="AS47" s="314">
        <f t="shared" si="49"/>
        <v>68.430800000000119</v>
      </c>
      <c r="AT47" s="314">
        <f t="shared" si="29"/>
        <v>717.96</v>
      </c>
      <c r="AU47" s="854">
        <v>0.89</v>
      </c>
      <c r="AV47" s="854">
        <v>0.84</v>
      </c>
      <c r="AW47" s="854">
        <v>0.5</v>
      </c>
      <c r="AX47" s="854">
        <v>0.27</v>
      </c>
      <c r="AY47" s="854">
        <v>0.93</v>
      </c>
      <c r="AZ47" s="317">
        <f>0.5*H47/1000</f>
        <v>0.44</v>
      </c>
      <c r="BA47" s="314">
        <f t="shared" si="40"/>
        <v>38.94252873563218</v>
      </c>
      <c r="BB47" s="314">
        <f t="shared" si="41"/>
        <v>174.68505747126434</v>
      </c>
      <c r="BC47" s="317">
        <f t="shared" si="4"/>
        <v>15.4841504348</v>
      </c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277"/>
      <c r="DR47" s="277"/>
      <c r="DS47" s="277"/>
      <c r="DT47" s="277"/>
      <c r="DU47" s="277"/>
      <c r="DV47" s="277"/>
      <c r="DW47" s="277"/>
      <c r="DX47" s="277"/>
      <c r="DY47" s="277"/>
      <c r="DZ47" s="277"/>
      <c r="EA47" s="277"/>
      <c r="EB47" s="277"/>
      <c r="EC47" s="277"/>
      <c r="ED47" s="277"/>
      <c r="EE47" s="277"/>
      <c r="EF47" s="277"/>
      <c r="EG47" s="277"/>
      <c r="EH47" s="277"/>
      <c r="EI47" s="277"/>
      <c r="EJ47" s="277"/>
      <c r="EK47" s="277"/>
      <c r="EL47" s="277"/>
      <c r="EM47" s="277"/>
    </row>
    <row r="48" spans="1:143" s="3" customFormat="1" ht="12.5" customHeight="1">
      <c r="A48" s="897" t="str">
        <f t="shared" si="7"/>
        <v xml:space="preserve">Triticale 9% RP </v>
      </c>
      <c r="B48" s="298">
        <f>IF(D48=""," ",COUNTA($D$8:D48))</f>
        <v>41</v>
      </c>
      <c r="C48" s="327"/>
      <c r="D48" s="479" t="s">
        <v>48</v>
      </c>
      <c r="E48" s="617">
        <f t="shared" si="0"/>
        <v>9</v>
      </c>
      <c r="F48" s="299"/>
      <c r="G48" s="300" t="s">
        <v>555</v>
      </c>
      <c r="H48" s="275">
        <v>880</v>
      </c>
      <c r="I48" s="275">
        <v>90.5</v>
      </c>
      <c r="J48" s="275">
        <f>I48*0.84</f>
        <v>76.02</v>
      </c>
      <c r="K48" s="275">
        <v>26.3</v>
      </c>
      <c r="L48" s="381">
        <f t="shared" si="43"/>
        <v>13.43717608</v>
      </c>
      <c r="M48" s="322">
        <f>$I48*0.021503+0.032497*$AE48+0.016309*$AF48+0.014701*$AJ48-0.021071*$K48</f>
        <v>13.525513960000001</v>
      </c>
      <c r="N48" s="311">
        <f>IF(I48=0," ",I48*0.0201+1.33)</f>
        <v>3.1490499999999999</v>
      </c>
      <c r="O48" s="302">
        <f t="shared" si="34"/>
        <v>2.6452019999999998</v>
      </c>
      <c r="P48" s="311">
        <f>IF(N48=" "," ",I48*0.0292+1.05)</f>
        <v>3.6925999999999997</v>
      </c>
      <c r="Q48" s="302">
        <f t="shared" si="32"/>
        <v>3.2276680909090905</v>
      </c>
      <c r="R48" s="311">
        <f>IF(N48=" "," ",I48*0.0255+0.58)</f>
        <v>2.88775</v>
      </c>
      <c r="S48" s="302">
        <f t="shared" si="35"/>
        <v>2.3390775000000001</v>
      </c>
      <c r="T48" s="311">
        <f>IF(N48=" "," ",I48*0.0072+0.4)</f>
        <v>1.0516000000000001</v>
      </c>
      <c r="U48" s="302">
        <f t="shared" si="36"/>
        <v>0.80973200000000012</v>
      </c>
      <c r="V48" s="274">
        <v>0.4</v>
      </c>
      <c r="W48" s="274">
        <v>3.2</v>
      </c>
      <c r="X48" s="302">
        <f t="shared" si="37"/>
        <v>1.6</v>
      </c>
      <c r="Y48" s="301">
        <f t="shared" si="44"/>
        <v>2.08</v>
      </c>
      <c r="Z48" s="274">
        <v>1.1000000000000001</v>
      </c>
      <c r="AA48" s="303">
        <v>0.1</v>
      </c>
      <c r="AB48" s="276">
        <v>4.7</v>
      </c>
      <c r="AC48" s="311">
        <f>IF($I48=""," ",$I48*0.0132+0.35)</f>
        <v>1.5446</v>
      </c>
      <c r="AD48" s="311">
        <f t="shared" si="45"/>
        <v>1.359248</v>
      </c>
      <c r="AE48" s="321">
        <v>15.8</v>
      </c>
      <c r="AF48" s="321">
        <v>578.5</v>
      </c>
      <c r="AG48" s="321">
        <v>35.1</v>
      </c>
      <c r="AH48" s="321">
        <f t="shared" si="33"/>
        <v>20.239999999999998</v>
      </c>
      <c r="AI48" s="612">
        <f t="shared" si="46"/>
        <v>67.666400000000095</v>
      </c>
      <c r="AJ48" s="321">
        <f t="shared" si="47"/>
        <v>148.66000000000008</v>
      </c>
      <c r="AK48" s="311">
        <f t="shared" si="48"/>
        <v>10.033000000000001</v>
      </c>
      <c r="AL48" s="311">
        <f>57.5*AE48/100</f>
        <v>9.0850000000000009</v>
      </c>
      <c r="AM48" s="311">
        <f>6*AE48/100</f>
        <v>0.94800000000000006</v>
      </c>
      <c r="AN48" s="321"/>
      <c r="AO48" s="321"/>
      <c r="AP48" s="321"/>
      <c r="AQ48" s="612">
        <f t="shared" si="50"/>
        <v>-11.223800000000004</v>
      </c>
      <c r="AR48" s="847">
        <f t="shared" si="51"/>
        <v>287.76600000000002</v>
      </c>
      <c r="AS48" s="321">
        <f t="shared" si="49"/>
        <v>69.75980000000007</v>
      </c>
      <c r="AT48" s="612">
        <f t="shared" si="29"/>
        <v>727.16000000000008</v>
      </c>
      <c r="AU48" s="852">
        <v>0.89</v>
      </c>
      <c r="AV48" s="852">
        <v>0.84</v>
      </c>
      <c r="AW48" s="852">
        <v>0.5</v>
      </c>
      <c r="AX48" s="852">
        <v>0.27</v>
      </c>
      <c r="AY48" s="852">
        <v>0.93</v>
      </c>
      <c r="AZ48" s="303">
        <f>0.5*H48/1000</f>
        <v>0.44</v>
      </c>
      <c r="BA48" s="321">
        <f t="shared" si="40"/>
        <v>38.79501915708812</v>
      </c>
      <c r="BB48" s="321">
        <f t="shared" si="41"/>
        <v>174.02337164750955</v>
      </c>
      <c r="BC48" s="381">
        <f t="shared" si="4"/>
        <v>15.807825190800001</v>
      </c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277"/>
      <c r="BX48" s="277"/>
      <c r="BY48" s="277"/>
      <c r="BZ48" s="277"/>
      <c r="CA48" s="277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  <c r="DQ48" s="277"/>
      <c r="DR48" s="277"/>
      <c r="DS48" s="277"/>
      <c r="DT48" s="277"/>
      <c r="DU48" s="277"/>
      <c r="DV48" s="277"/>
      <c r="DW48" s="277"/>
      <c r="DX48" s="277"/>
      <c r="DY48" s="277"/>
      <c r="DZ48" s="277"/>
      <c r="EA48" s="277"/>
      <c r="EB48" s="277"/>
      <c r="EC48" s="277"/>
      <c r="ED48" s="277"/>
      <c r="EE48" s="277"/>
      <c r="EF48" s="277"/>
      <c r="EG48" s="277"/>
      <c r="EH48" s="277"/>
      <c r="EI48" s="277"/>
      <c r="EJ48" s="277"/>
      <c r="EK48" s="277"/>
      <c r="EL48" s="277"/>
      <c r="EM48" s="277"/>
    </row>
    <row r="49" spans="1:143" s="3" customFormat="1" ht="12.5" customHeight="1">
      <c r="A49" s="897" t="str">
        <f t="shared" si="7"/>
        <v xml:space="preserve">Triticale 8% RP </v>
      </c>
      <c r="B49" s="298">
        <f>IF(D49=""," ",COUNTA($D$8:D49))</f>
        <v>42</v>
      </c>
      <c r="C49" s="327"/>
      <c r="D49" s="479" t="s">
        <v>48</v>
      </c>
      <c r="E49" s="617">
        <f>IF(I49=0," ",ROUND(I49/10,0))</f>
        <v>8</v>
      </c>
      <c r="F49" s="299"/>
      <c r="G49" s="300" t="s">
        <v>49</v>
      </c>
      <c r="H49" s="275">
        <v>880</v>
      </c>
      <c r="I49" s="275">
        <v>82.1</v>
      </c>
      <c r="J49" s="275">
        <f>I49*0.84</f>
        <v>68.963999999999999</v>
      </c>
      <c r="K49" s="275">
        <v>26.4</v>
      </c>
      <c r="L49" s="381">
        <f t="shared" si="43"/>
        <v>13.432776280000001</v>
      </c>
      <c r="M49" s="322">
        <f>$I49*0.021503+0.032497*$AE49+0.016309*$AF49+0.014701*$AJ49-0.021071*$K49</f>
        <v>13.491042760000001</v>
      </c>
      <c r="N49" s="311">
        <f>IF(I49=0," ",I49*0.0201+1.33)</f>
        <v>2.98021</v>
      </c>
      <c r="O49" s="302">
        <f t="shared" si="34"/>
        <v>2.5033764000000001</v>
      </c>
      <c r="P49" s="311">
        <f>IF(N49=" "," ",I49*0.0292+1.05)</f>
        <v>3.4473199999999995</v>
      </c>
      <c r="Q49" s="302">
        <f t="shared" si="32"/>
        <v>3.0132710727272722</v>
      </c>
      <c r="R49" s="311">
        <f>IF(N49=" "," ",I49*0.0255+0.58)</f>
        <v>2.6735499999999996</v>
      </c>
      <c r="S49" s="302">
        <f>IF(N49=" "," ",R49*0.81)</f>
        <v>2.1655754999999997</v>
      </c>
      <c r="T49" s="311">
        <f>IF(N49=" "," ",I49*0.0072+0.4)</f>
        <v>0.99112</v>
      </c>
      <c r="U49" s="302">
        <f>IF(N49=" "," ",T49*0.77)</f>
        <v>0.76316240000000002</v>
      </c>
      <c r="V49" s="274">
        <v>0.4</v>
      </c>
      <c r="W49" s="274">
        <v>3.2</v>
      </c>
      <c r="X49" s="302">
        <f t="shared" si="37"/>
        <v>1.6</v>
      </c>
      <c r="Y49" s="301">
        <f t="shared" si="44"/>
        <v>2.08</v>
      </c>
      <c r="Z49" s="274">
        <v>1.1000000000000001</v>
      </c>
      <c r="AA49" s="303">
        <v>0.1</v>
      </c>
      <c r="AB49" s="276">
        <v>4.7</v>
      </c>
      <c r="AC49" s="311">
        <f>IF($I49=""," ",$I49*0.0132+0.35)</f>
        <v>1.4337200000000001</v>
      </c>
      <c r="AD49" s="311">
        <f t="shared" si="45"/>
        <v>1.2616736000000002</v>
      </c>
      <c r="AE49" s="321">
        <v>16.100000000000001</v>
      </c>
      <c r="AF49" s="321">
        <v>591.5</v>
      </c>
      <c r="AG49" s="321">
        <v>34.299999999999997</v>
      </c>
      <c r="AH49" s="321">
        <f t="shared" si="33"/>
        <v>20.239999999999998</v>
      </c>
      <c r="AI49" s="612">
        <f t="shared" si="46"/>
        <v>62.372400000000155</v>
      </c>
      <c r="AJ49" s="321">
        <f t="shared" si="47"/>
        <v>143.65999999999997</v>
      </c>
      <c r="AK49" s="311">
        <f t="shared" si="48"/>
        <v>10.2235</v>
      </c>
      <c r="AL49" s="311">
        <f>57.5*AE49/100</f>
        <v>9.2575000000000003</v>
      </c>
      <c r="AM49" s="311">
        <f>6*AE49/100</f>
        <v>0.96600000000000008</v>
      </c>
      <c r="AN49" s="321"/>
      <c r="AO49" s="321"/>
      <c r="AP49" s="321"/>
      <c r="AQ49" s="612">
        <f t="shared" si="50"/>
        <v>-8.0351599999999976</v>
      </c>
      <c r="AR49" s="847">
        <f t="shared" si="51"/>
        <v>266.76600000000002</v>
      </c>
      <c r="AS49" s="321">
        <f t="shared" si="49"/>
        <v>65.026800000000051</v>
      </c>
      <c r="AT49" s="612">
        <f t="shared" si="29"/>
        <v>735.16</v>
      </c>
      <c r="AU49" s="852">
        <v>0.89</v>
      </c>
      <c r="AV49" s="852">
        <v>0.84</v>
      </c>
      <c r="AW49" s="852">
        <v>0.5</v>
      </c>
      <c r="AX49" s="852">
        <v>0.27</v>
      </c>
      <c r="AY49" s="852">
        <v>0.93</v>
      </c>
      <c r="AZ49" s="303">
        <f>0.5*H49/1000</f>
        <v>0.44</v>
      </c>
      <c r="BA49" s="321">
        <f t="shared" si="40"/>
        <v>38.94252873563218</v>
      </c>
      <c r="BB49" s="321">
        <f t="shared" si="41"/>
        <v>174.68505747126434</v>
      </c>
      <c r="BC49" s="381">
        <f t="shared" si="4"/>
        <v>16.2252612148</v>
      </c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  <c r="DQ49" s="277"/>
      <c r="DR49" s="277"/>
      <c r="DS49" s="277"/>
      <c r="DT49" s="277"/>
      <c r="DU49" s="277"/>
      <c r="DV49" s="277"/>
      <c r="DW49" s="277"/>
      <c r="DX49" s="277"/>
      <c r="DY49" s="277"/>
      <c r="DZ49" s="277"/>
      <c r="EA49" s="277"/>
      <c r="EB49" s="277"/>
      <c r="EC49" s="277"/>
      <c r="ED49" s="277"/>
      <c r="EE49" s="277"/>
      <c r="EF49" s="277"/>
      <c r="EG49" s="277"/>
      <c r="EH49" s="277"/>
      <c r="EI49" s="277"/>
      <c r="EJ49" s="277"/>
      <c r="EK49" s="277"/>
      <c r="EL49" s="277"/>
      <c r="EM49" s="277"/>
    </row>
    <row r="50" spans="1:143" s="3" customFormat="1" ht="12.5" customHeight="1">
      <c r="A50" s="897" t="str">
        <f t="shared" ref="A50:A85" si="52">IF(E50=" ",D50&amp;" "&amp;F50,D50&amp;" "&amp;E50&amp;"% RP "&amp;F50)</f>
        <v>Triticale öko 7% RP Ø Hessen</v>
      </c>
      <c r="B50" s="298">
        <f>IF(D50=""," ",COUNTA($D$8:D50))</f>
        <v>43</v>
      </c>
      <c r="C50" s="327"/>
      <c r="D50" s="479" t="s">
        <v>554</v>
      </c>
      <c r="E50" s="617">
        <f t="shared" si="0"/>
        <v>7</v>
      </c>
      <c r="F50" s="319" t="s">
        <v>549</v>
      </c>
      <c r="G50" s="300" t="s">
        <v>550</v>
      </c>
      <c r="H50" s="275">
        <v>880</v>
      </c>
      <c r="I50" s="275">
        <v>72.599999999999994</v>
      </c>
      <c r="J50" s="275">
        <f>I50*0.84</f>
        <v>60.983999999999995</v>
      </c>
      <c r="K50" s="275">
        <v>26.4</v>
      </c>
      <c r="L50" s="381">
        <f t="shared" si="43"/>
        <v>13.404177279999999</v>
      </c>
      <c r="M50" s="322">
        <f>$I50*0.021503+0.032497*$AE50+0.016309*$AF50+0.014701*$AJ50-0.021071*$K50</f>
        <v>13.433627359999999</v>
      </c>
      <c r="N50" s="311">
        <f>IF(I50=0," ",I50*0.0201+1.33)</f>
        <v>2.7892599999999996</v>
      </c>
      <c r="O50" s="302">
        <f t="shared" si="34"/>
        <v>2.3429783999999998</v>
      </c>
      <c r="P50" s="311">
        <f>IF(N50=" "," ",I50*0.0292+1.05)</f>
        <v>3.1699200000000003</v>
      </c>
      <c r="Q50" s="302">
        <f t="shared" si="32"/>
        <v>2.7707982545454546</v>
      </c>
      <c r="R50" s="311">
        <f>IF(N50=" "," ",I50*0.0255+0.58)</f>
        <v>2.4312999999999998</v>
      </c>
      <c r="S50" s="302">
        <f t="shared" si="35"/>
        <v>1.9693529999999999</v>
      </c>
      <c r="T50" s="311">
        <f>IF(N50=" "," ",I50*0.0072+0.4)</f>
        <v>0.92271999999999998</v>
      </c>
      <c r="U50" s="302">
        <f t="shared" si="36"/>
        <v>0.71049439999999997</v>
      </c>
      <c r="V50" s="274">
        <v>0.4</v>
      </c>
      <c r="W50" s="274">
        <v>3.2</v>
      </c>
      <c r="X50" s="302">
        <f>W50*0.5</f>
        <v>1.6</v>
      </c>
      <c r="Y50" s="301">
        <f t="shared" si="44"/>
        <v>2.08</v>
      </c>
      <c r="Z50" s="274">
        <v>1.1000000000000001</v>
      </c>
      <c r="AA50" s="303">
        <v>0.1</v>
      </c>
      <c r="AB50" s="276">
        <v>4.7</v>
      </c>
      <c r="AC50" s="311">
        <f>IF($I50=""," ",$I50*0.0132+0.35)</f>
        <v>1.3083199999999999</v>
      </c>
      <c r="AD50" s="311">
        <f t="shared" si="45"/>
        <v>1.1513215999999999</v>
      </c>
      <c r="AE50" s="321">
        <v>15.8</v>
      </c>
      <c r="AF50" s="321">
        <v>599.29999999999995</v>
      </c>
      <c r="AG50" s="321">
        <v>35.200000000000003</v>
      </c>
      <c r="AH50" s="321">
        <f t="shared" si="33"/>
        <v>20.239999999999998</v>
      </c>
      <c r="AI50" s="612">
        <f t="shared" si="46"/>
        <v>61.802400000000077</v>
      </c>
      <c r="AJ50" s="321">
        <f t="shared" si="47"/>
        <v>145.66000000000008</v>
      </c>
      <c r="AK50" s="311">
        <f t="shared" si="48"/>
        <v>10.033000000000001</v>
      </c>
      <c r="AL50" s="311">
        <f>57.5*AE50/100</f>
        <v>9.0850000000000009</v>
      </c>
      <c r="AM50" s="311">
        <f>6*AE50/100</f>
        <v>0.94800000000000006</v>
      </c>
      <c r="AN50" s="321"/>
      <c r="AO50" s="321"/>
      <c r="AP50" s="321"/>
      <c r="AQ50" s="612">
        <f t="shared" si="50"/>
        <v>-4.4289600000000107</v>
      </c>
      <c r="AR50" s="847">
        <f t="shared" si="51"/>
        <v>243.01600000000002</v>
      </c>
      <c r="AS50" s="321">
        <f t="shared" si="49"/>
        <v>65.440800000000124</v>
      </c>
      <c r="AT50" s="612">
        <f t="shared" si="29"/>
        <v>744.96</v>
      </c>
      <c r="AU50" s="852">
        <v>0.89</v>
      </c>
      <c r="AV50" s="852">
        <v>0.84</v>
      </c>
      <c r="AW50" s="852">
        <v>0.5</v>
      </c>
      <c r="AX50" s="852">
        <v>0.27</v>
      </c>
      <c r="AY50" s="852">
        <v>0.93</v>
      </c>
      <c r="AZ50" s="303">
        <f>0.5*H50/1000</f>
        <v>0.44</v>
      </c>
      <c r="BA50" s="321">
        <f t="shared" si="40"/>
        <v>38.94252873563218</v>
      </c>
      <c r="BB50" s="321">
        <f t="shared" si="41"/>
        <v>174.68505747126434</v>
      </c>
      <c r="BC50" s="381">
        <f t="shared" si="4"/>
        <v>16.549847972799995</v>
      </c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77"/>
      <c r="EF50" s="277"/>
      <c r="EG50" s="277"/>
      <c r="EH50" s="277"/>
      <c r="EI50" s="277"/>
      <c r="EJ50" s="277"/>
      <c r="EK50" s="277"/>
      <c r="EL50" s="277"/>
      <c r="EM50" s="277"/>
    </row>
    <row r="51" spans="1:143" s="3" customFormat="1" ht="12.5" customHeight="1">
      <c r="A51" s="897" t="str">
        <f t="shared" si="52"/>
        <v xml:space="preserve">Weizen  14% RP </v>
      </c>
      <c r="B51" s="298">
        <f>IF(D51=""," ",COUNTA($D$8:D51))</f>
        <v>44</v>
      </c>
      <c r="C51" s="327"/>
      <c r="D51" s="479" t="s">
        <v>51</v>
      </c>
      <c r="E51" s="617">
        <f>IF(I51=0," ",ROUND(I51/10,0))</f>
        <v>14</v>
      </c>
      <c r="F51" s="299"/>
      <c r="G51" s="299">
        <v>2</v>
      </c>
      <c r="H51" s="275">
        <v>880</v>
      </c>
      <c r="I51" s="275">
        <v>142.1</v>
      </c>
      <c r="J51" s="275">
        <f>I51*0.9</f>
        <v>127.89</v>
      </c>
      <c r="K51" s="275">
        <v>26</v>
      </c>
      <c r="L51" s="381">
        <f t="shared" si="43"/>
        <v>13.78648424</v>
      </c>
      <c r="M51" s="322">
        <f t="shared" ref="M51:M69" si="53">IF(I51=""," ",$I51*0.021503+0.032497*$AE51+0.016309*$AF51+0.014701*$AJ51-0.021071*$K51)</f>
        <v>14.012488279999999</v>
      </c>
      <c r="N51" s="311">
        <f>IF(I51=0," ",I51*0.0182+1.13)</f>
        <v>3.7162199999999999</v>
      </c>
      <c r="O51" s="302">
        <f>IF(N51=" "," ",N51*0.88)</f>
        <v>3.2702735999999999</v>
      </c>
      <c r="P51" s="311">
        <f>IF(N51=" "," ",I51*0.0305+0.75)</f>
        <v>5.0840499999999995</v>
      </c>
      <c r="Q51" s="302">
        <f t="shared" ref="Q51:Q63" si="54">IF(N51=" "," ",P51*(2*0.88+2.8*0.92)/4.8)</f>
        <v>4.5925918333333335</v>
      </c>
      <c r="R51" s="311">
        <f>IF(N51=" "," ",I51*0.0233+0.56)</f>
        <v>3.87093</v>
      </c>
      <c r="S51" s="302">
        <f>IF(N51=" "," ",R51*0.9)</f>
        <v>3.4838369999999999</v>
      </c>
      <c r="T51" s="311">
        <f>IF(N51=" "," ",I51*0.0121+0.12)</f>
        <v>1.83941</v>
      </c>
      <c r="U51" s="302">
        <f>IF(N51=" "," ",T51*0.88)</f>
        <v>1.6186807999999999</v>
      </c>
      <c r="V51" s="274">
        <v>0.7</v>
      </c>
      <c r="W51" s="274">
        <v>3.3</v>
      </c>
      <c r="X51" s="301">
        <f>W51*0.6</f>
        <v>1.9799999999999998</v>
      </c>
      <c r="Y51" s="301">
        <f t="shared" si="44"/>
        <v>2.145</v>
      </c>
      <c r="Z51" s="274">
        <v>1.1000000000000001</v>
      </c>
      <c r="AA51" s="303">
        <v>0.2</v>
      </c>
      <c r="AB51" s="276">
        <v>3.8</v>
      </c>
      <c r="AC51" s="311">
        <f>IF($I51=""," ",$I51*0.0125+0.3)</f>
        <v>2.0762499999999999</v>
      </c>
      <c r="AD51" s="311">
        <f t="shared" si="45"/>
        <v>1.8270999999999999</v>
      </c>
      <c r="AE51" s="321">
        <v>22</v>
      </c>
      <c r="AF51" s="321">
        <v>555.6</v>
      </c>
      <c r="AG51" s="321">
        <v>22.9</v>
      </c>
      <c r="AH51" s="321">
        <f>19*0.88</f>
        <v>16.72</v>
      </c>
      <c r="AI51" s="612">
        <f t="shared" si="46"/>
        <v>50.929200000000016</v>
      </c>
      <c r="AJ51" s="321">
        <f t="shared" si="47"/>
        <v>117.57999999999993</v>
      </c>
      <c r="AK51" s="610">
        <f t="shared" si="48"/>
        <v>13.639999999999999</v>
      </c>
      <c r="AL51" s="610">
        <f>57*AE51/100</f>
        <v>12.54</v>
      </c>
      <c r="AM51" s="610">
        <f>5*AE51/100</f>
        <v>1.1000000000000001</v>
      </c>
      <c r="AN51" s="321"/>
      <c r="AO51" s="321"/>
      <c r="AP51" s="321"/>
      <c r="AQ51" s="612">
        <f t="shared" si="50"/>
        <v>-43.155049999999946</v>
      </c>
      <c r="AR51" s="847">
        <f t="shared" si="51"/>
        <v>422.80799999999999</v>
      </c>
      <c r="AS51" s="321">
        <f t="shared" si="49"/>
        <v>54.837399999999981</v>
      </c>
      <c r="AT51" s="612">
        <f t="shared" si="29"/>
        <v>673.18</v>
      </c>
      <c r="AU51" s="852">
        <v>0.89</v>
      </c>
      <c r="AV51" s="852">
        <v>0.9</v>
      </c>
      <c r="AW51" s="852">
        <v>0.5</v>
      </c>
      <c r="AX51" s="852">
        <v>0.28000000000000003</v>
      </c>
      <c r="AY51" s="852">
        <v>0.93</v>
      </c>
      <c r="AZ51" s="303">
        <f>0.66*H51/1000</f>
        <v>0.58080000000000009</v>
      </c>
      <c r="BA51" s="321">
        <f>$BA$53/$H$53*H51*K51/$K$53</f>
        <v>36.4</v>
      </c>
      <c r="BB51" s="321">
        <f>$BB$53/$H$53*H51*K51/$K$53</f>
        <v>169.52</v>
      </c>
      <c r="BC51" s="381">
        <f t="shared" si="4"/>
        <v>14.728316444399999</v>
      </c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B51" s="277"/>
      <c r="EC51" s="277"/>
      <c r="ED51" s="277"/>
      <c r="EE51" s="277"/>
      <c r="EF51" s="277"/>
      <c r="EG51" s="277"/>
      <c r="EH51" s="277"/>
      <c r="EI51" s="277"/>
      <c r="EJ51" s="277"/>
      <c r="EK51" s="277"/>
      <c r="EL51" s="277"/>
      <c r="EM51" s="277"/>
    </row>
    <row r="52" spans="1:143" s="3" customFormat="1" ht="12.5" customHeight="1">
      <c r="A52" s="897" t="str">
        <f t="shared" si="52"/>
        <v xml:space="preserve">Weizen  13% RP </v>
      </c>
      <c r="B52" s="298">
        <f>IF(D52=""," ",COUNTA($D$8:D52))</f>
        <v>45</v>
      </c>
      <c r="C52" s="327"/>
      <c r="D52" s="479" t="s">
        <v>51</v>
      </c>
      <c r="E52" s="617">
        <f>IF(I52=0," ",ROUND(I52/10,0))</f>
        <v>13</v>
      </c>
      <c r="F52" s="299"/>
      <c r="G52" s="299">
        <v>12</v>
      </c>
      <c r="H52" s="275">
        <v>880</v>
      </c>
      <c r="I52" s="275">
        <v>129.30000000000001</v>
      </c>
      <c r="J52" s="275">
        <f>I52*0.9</f>
        <v>116.37000000000002</v>
      </c>
      <c r="K52" s="275">
        <v>26</v>
      </c>
      <c r="L52" s="381">
        <f t="shared" si="43"/>
        <v>13.74159824</v>
      </c>
      <c r="M52" s="322">
        <f t="shared" si="53"/>
        <v>13.93681788</v>
      </c>
      <c r="N52" s="311">
        <f>IF(I52=0," ",I52*0.0182+1.13)</f>
        <v>3.48326</v>
      </c>
      <c r="O52" s="302">
        <f>IF(N52=" "," ",N52*0.88)</f>
        <v>3.0652688000000001</v>
      </c>
      <c r="P52" s="311">
        <f>IF(N52=" "," ",I52*0.0305+0.75)</f>
        <v>4.6936499999999999</v>
      </c>
      <c r="Q52" s="302">
        <f t="shared" si="54"/>
        <v>4.2399304999999998</v>
      </c>
      <c r="R52" s="311">
        <f>IF(N52=" "," ",I52*0.0233+0.56)</f>
        <v>3.5726900000000006</v>
      </c>
      <c r="S52" s="302">
        <f>IF(N52=" "," ",R52*0.9)</f>
        <v>3.2154210000000005</v>
      </c>
      <c r="T52" s="311">
        <f>IF(N52=" "," ",I52*0.0121+0.12)</f>
        <v>1.6845300000000001</v>
      </c>
      <c r="U52" s="302">
        <f>IF(N52=" "," ",T52*0.88)</f>
        <v>1.4823864</v>
      </c>
      <c r="V52" s="274">
        <v>0.7</v>
      </c>
      <c r="W52" s="274">
        <v>3.3</v>
      </c>
      <c r="X52" s="301">
        <f t="shared" ref="X52:X63" si="55">W52*0.6</f>
        <v>1.9799999999999998</v>
      </c>
      <c r="Y52" s="301">
        <f t="shared" si="44"/>
        <v>2.145</v>
      </c>
      <c r="Z52" s="274">
        <v>1.1000000000000001</v>
      </c>
      <c r="AA52" s="303">
        <v>0.2</v>
      </c>
      <c r="AB52" s="276">
        <v>3.8</v>
      </c>
      <c r="AC52" s="311">
        <f>IF($I52=""," ",$I52*0.0125+0.3)</f>
        <v>1.9162500000000002</v>
      </c>
      <c r="AD52" s="311">
        <f t="shared" si="45"/>
        <v>1.6863000000000001</v>
      </c>
      <c r="AE52" s="321">
        <v>21.8</v>
      </c>
      <c r="AF52" s="321">
        <v>564.9</v>
      </c>
      <c r="AG52" s="321">
        <v>23.1</v>
      </c>
      <c r="AH52" s="321">
        <f>19*0.88</f>
        <v>16.72</v>
      </c>
      <c r="AI52" s="612">
        <f t="shared" si="46"/>
        <v>53.049200000000063</v>
      </c>
      <c r="AJ52" s="321">
        <f t="shared" si="47"/>
        <v>121.27999999999997</v>
      </c>
      <c r="AK52" s="610">
        <f t="shared" si="48"/>
        <v>13.516000000000002</v>
      </c>
      <c r="AL52" s="610">
        <f>57*AE52/100</f>
        <v>12.426000000000002</v>
      </c>
      <c r="AM52" s="610">
        <f>5*AE52/100</f>
        <v>1.0900000000000001</v>
      </c>
      <c r="AN52" s="321"/>
      <c r="AO52" s="321"/>
      <c r="AP52" s="321"/>
      <c r="AQ52" s="612">
        <f t="shared" si="50"/>
        <v>-38.079849999999951</v>
      </c>
      <c r="AR52" s="847">
        <f t="shared" si="51"/>
        <v>390.80799999999999</v>
      </c>
      <c r="AS52" s="321">
        <f t="shared" si="49"/>
        <v>57.427400000000056</v>
      </c>
      <c r="AT52" s="612">
        <f t="shared" si="29"/>
        <v>686.18000000000006</v>
      </c>
      <c r="AU52" s="852">
        <v>0.89</v>
      </c>
      <c r="AV52" s="852">
        <v>0.9</v>
      </c>
      <c r="AW52" s="852">
        <v>0.5</v>
      </c>
      <c r="AX52" s="852">
        <v>0.28000000000000003</v>
      </c>
      <c r="AY52" s="852">
        <v>0.93</v>
      </c>
      <c r="AZ52" s="303">
        <f>0.66*H52/1000</f>
        <v>0.58080000000000009</v>
      </c>
      <c r="BA52" s="321">
        <f>$BA$53/$H$53*H52*K52/$K$53</f>
        <v>36.4</v>
      </c>
      <c r="BB52" s="321">
        <f>$BB$53/$H$53*H52*K52/$K$53</f>
        <v>169.52</v>
      </c>
      <c r="BC52" s="381">
        <f t="shared" si="4"/>
        <v>15.1599770524</v>
      </c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/>
      <c r="BX52" s="277"/>
      <c r="BY52" s="277"/>
      <c r="BZ52" s="277"/>
      <c r="CA52" s="277"/>
      <c r="CB52" s="277"/>
      <c r="CC52" s="277"/>
      <c r="CD52" s="277"/>
      <c r="CE52" s="277"/>
      <c r="CF52" s="277"/>
      <c r="CG52" s="277"/>
      <c r="CH52" s="277"/>
      <c r="CI52" s="277"/>
      <c r="CJ52" s="277"/>
      <c r="CK52" s="277"/>
      <c r="CL52" s="277"/>
      <c r="CM52" s="277"/>
      <c r="CN52" s="277"/>
      <c r="CO52" s="277"/>
      <c r="CP52" s="277"/>
      <c r="CQ52" s="277"/>
      <c r="CR52" s="277"/>
      <c r="CS52" s="277"/>
      <c r="CT52" s="277"/>
      <c r="CU52" s="277"/>
      <c r="CV52" s="277"/>
      <c r="CW52" s="277"/>
      <c r="CX52" s="277"/>
      <c r="CY52" s="277"/>
      <c r="CZ52" s="277"/>
      <c r="DA52" s="277"/>
      <c r="DB52" s="277"/>
      <c r="DC52" s="277"/>
      <c r="DD52" s="277"/>
      <c r="DE52" s="277"/>
      <c r="DF52" s="277"/>
      <c r="DG52" s="277"/>
      <c r="DH52" s="277"/>
      <c r="DI52" s="277"/>
      <c r="DJ52" s="277"/>
      <c r="DK52" s="277"/>
      <c r="DL52" s="277"/>
      <c r="DM52" s="277"/>
      <c r="DN52" s="277"/>
      <c r="DO52" s="277"/>
      <c r="DP52" s="277"/>
      <c r="DQ52" s="277"/>
      <c r="DR52" s="277"/>
      <c r="DS52" s="277"/>
      <c r="DT52" s="277"/>
      <c r="DU52" s="277"/>
      <c r="DV52" s="277"/>
      <c r="DW52" s="277"/>
      <c r="DX52" s="277"/>
      <c r="DY52" s="277"/>
      <c r="DZ52" s="277"/>
      <c r="EA52" s="277"/>
      <c r="EB52" s="277"/>
      <c r="EC52" s="277"/>
      <c r="ED52" s="277"/>
      <c r="EE52" s="277"/>
      <c r="EF52" s="277"/>
      <c r="EG52" s="277"/>
      <c r="EH52" s="277"/>
      <c r="EI52" s="277"/>
      <c r="EJ52" s="277"/>
      <c r="EK52" s="277"/>
      <c r="EL52" s="277"/>
      <c r="EM52" s="277"/>
    </row>
    <row r="53" spans="1:143" s="4" customFormat="1" ht="12.5" customHeight="1">
      <c r="A53" s="897" t="str">
        <f t="shared" si="52"/>
        <v>Weizen  12% RP DLG 2014</v>
      </c>
      <c r="B53" s="298">
        <f>IF(D53=""," ",COUNTA($D$8:D53))</f>
        <v>46</v>
      </c>
      <c r="C53" s="327"/>
      <c r="D53" s="482" t="s">
        <v>51</v>
      </c>
      <c r="E53" s="617">
        <f t="shared" si="0"/>
        <v>12</v>
      </c>
      <c r="F53" s="319" t="s">
        <v>969</v>
      </c>
      <c r="G53" s="320"/>
      <c r="H53" s="321">
        <v>880</v>
      </c>
      <c r="I53" s="321">
        <v>123</v>
      </c>
      <c r="J53" s="275">
        <f>I53*0.9</f>
        <v>110.7</v>
      </c>
      <c r="K53" s="321">
        <v>25</v>
      </c>
      <c r="L53" s="381">
        <f t="shared" si="43"/>
        <v>13.671705999999999</v>
      </c>
      <c r="M53" s="322">
        <f t="shared" si="53"/>
        <v>13.857927999999999</v>
      </c>
      <c r="N53" s="311">
        <f>IF(I53=0," ",I53*0.0182+1.13)</f>
        <v>3.3685999999999998</v>
      </c>
      <c r="O53" s="301">
        <f t="shared" ref="O53:O62" si="56">IF(N53=" "," ",N53*0.88)</f>
        <v>2.9643679999999999</v>
      </c>
      <c r="P53" s="311">
        <f>IF(N53=" "," ",I53*0.0305+0.75)</f>
        <v>4.5015000000000001</v>
      </c>
      <c r="Q53" s="302">
        <f>IF(N53=" "," ",P53*(2*0.88+2.8*0.92)/4.8)</f>
        <v>4.0663550000000006</v>
      </c>
      <c r="R53" s="311">
        <f>IF(N53=" "," ",I53*0.0233+0.56)</f>
        <v>3.4259000000000004</v>
      </c>
      <c r="S53" s="301">
        <f t="shared" ref="S53:S62" si="57">IF(N53=" "," ",R53*0.9)</f>
        <v>3.0833100000000004</v>
      </c>
      <c r="T53" s="311">
        <f>IF(N53=" "," ",I53*0.0121+0.12)</f>
        <v>1.6082999999999998</v>
      </c>
      <c r="U53" s="301">
        <f t="shared" ref="U53:U62" si="58">IF(N53=" "," ",T53*0.88)</f>
        <v>1.4153039999999999</v>
      </c>
      <c r="V53" s="274">
        <v>0.7</v>
      </c>
      <c r="W53" s="311">
        <v>3.3</v>
      </c>
      <c r="X53" s="301">
        <f t="shared" si="55"/>
        <v>1.9799999999999998</v>
      </c>
      <c r="Y53" s="301">
        <f t="shared" si="44"/>
        <v>2.145</v>
      </c>
      <c r="Z53" s="311">
        <v>1.1000000000000001</v>
      </c>
      <c r="AA53" s="303">
        <v>0.2</v>
      </c>
      <c r="AB53" s="323">
        <v>3.8</v>
      </c>
      <c r="AC53" s="311">
        <f>IF($I53=""," ",$I53*0.0125+0.3)</f>
        <v>1.8375000000000001</v>
      </c>
      <c r="AD53" s="311">
        <f t="shared" si="45"/>
        <v>1.6170000000000002</v>
      </c>
      <c r="AE53" s="321">
        <v>18</v>
      </c>
      <c r="AF53" s="321">
        <v>574</v>
      </c>
      <c r="AG53" s="321">
        <v>26</v>
      </c>
      <c r="AH53" s="321">
        <v>18</v>
      </c>
      <c r="AI53" s="612">
        <f t="shared" si="46"/>
        <v>47.480000000000018</v>
      </c>
      <c r="AJ53" s="321">
        <f t="shared" ref="AJ53:AJ69" si="59">IF($I53=""," ",$H53-($AE53+$AF53+$AH53+$I53+$K53))</f>
        <v>122</v>
      </c>
      <c r="AK53" s="610">
        <f t="shared" si="48"/>
        <v>11.16</v>
      </c>
      <c r="AL53" s="610">
        <f>57*AE53/100</f>
        <v>10.26</v>
      </c>
      <c r="AM53" s="610">
        <f>5*AE53/100</f>
        <v>0.9</v>
      </c>
      <c r="AN53" s="321"/>
      <c r="AO53" s="321"/>
      <c r="AP53" s="321"/>
      <c r="AQ53" s="612">
        <f t="shared" si="50"/>
        <v>-35.581899999999962</v>
      </c>
      <c r="AR53" s="847">
        <f t="shared" si="51"/>
        <v>375.05799999999999</v>
      </c>
      <c r="AS53" s="321">
        <f t="shared" si="49"/>
        <v>54.280000000000086</v>
      </c>
      <c r="AT53" s="612">
        <f t="shared" si="29"/>
        <v>696</v>
      </c>
      <c r="AU53" s="852">
        <v>0.89</v>
      </c>
      <c r="AV53" s="852">
        <v>0.9</v>
      </c>
      <c r="AW53" s="852">
        <v>0.5</v>
      </c>
      <c r="AX53" s="852">
        <v>0.28000000000000003</v>
      </c>
      <c r="AY53" s="852">
        <v>0.93</v>
      </c>
      <c r="AZ53" s="303">
        <f>0.66*H53/1000</f>
        <v>0.58080000000000009</v>
      </c>
      <c r="BA53" s="321">
        <v>35</v>
      </c>
      <c r="BB53" s="321">
        <v>163</v>
      </c>
      <c r="BC53" s="381">
        <f t="shared" si="4"/>
        <v>15.247287439999999</v>
      </c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</row>
    <row r="54" spans="1:143" s="3" customFormat="1" ht="12" customHeight="1">
      <c r="A54" s="897" t="str">
        <f t="shared" si="52"/>
        <v xml:space="preserve">Weizen  12% RP </v>
      </c>
      <c r="B54" s="298">
        <f>IF(D54=""," ",COUNTA($D$8:D54))</f>
        <v>47</v>
      </c>
      <c r="C54" s="327"/>
      <c r="D54" s="482" t="s">
        <v>51</v>
      </c>
      <c r="E54" s="617">
        <f>IF(I54=0," ",ROUND(I54/10,0))</f>
        <v>12</v>
      </c>
      <c r="F54" s="319"/>
      <c r="G54" s="320" t="s">
        <v>69</v>
      </c>
      <c r="H54" s="321">
        <v>880</v>
      </c>
      <c r="I54" s="321">
        <v>119.8</v>
      </c>
      <c r="J54" s="275">
        <f>I54*0.9</f>
        <v>107.82</v>
      </c>
      <c r="K54" s="275">
        <v>26</v>
      </c>
      <c r="L54" s="381">
        <f t="shared" si="43"/>
        <v>13.662043239999997</v>
      </c>
      <c r="M54" s="322">
        <f t="shared" si="53"/>
        <v>13.810995280000002</v>
      </c>
      <c r="N54" s="311">
        <f>IF(I54=0," ",I54*0.0182+1.13)</f>
        <v>3.3103599999999997</v>
      </c>
      <c r="O54" s="302">
        <f>IF(N54=" "," ",N54*0.88)</f>
        <v>2.9131167999999996</v>
      </c>
      <c r="P54" s="311">
        <f>IF(N54=" "," ",I54*0.0305+0.75)</f>
        <v>4.4039000000000001</v>
      </c>
      <c r="Q54" s="302">
        <f t="shared" si="54"/>
        <v>3.9781896666666672</v>
      </c>
      <c r="R54" s="311">
        <f>IF(N54=" "," ",I54*0.0233+0.56)</f>
        <v>3.35134</v>
      </c>
      <c r="S54" s="302">
        <f>IF(N54=" "," ",R54*0.9)</f>
        <v>3.0162059999999999</v>
      </c>
      <c r="T54" s="311">
        <f>IF(N54=" "," ",I54*0.0121+0.12)</f>
        <v>1.5695799999999998</v>
      </c>
      <c r="U54" s="302">
        <f>IF(N54=" "," ",T54*0.88)</f>
        <v>1.3812303999999997</v>
      </c>
      <c r="V54" s="274">
        <v>0.7</v>
      </c>
      <c r="W54" s="311">
        <v>3.3</v>
      </c>
      <c r="X54" s="301">
        <f t="shared" si="55"/>
        <v>1.9799999999999998</v>
      </c>
      <c r="Y54" s="302">
        <f t="shared" si="44"/>
        <v>2.145</v>
      </c>
      <c r="Z54" s="311">
        <v>1.1000000000000001</v>
      </c>
      <c r="AA54" s="303">
        <v>0.2</v>
      </c>
      <c r="AB54" s="323">
        <v>3.8</v>
      </c>
      <c r="AC54" s="311">
        <f>IF($I54=""," ",$I54*0.0125+0.3)</f>
        <v>1.7975000000000001</v>
      </c>
      <c r="AD54" s="311">
        <f t="shared" si="45"/>
        <v>1.5818000000000001</v>
      </c>
      <c r="AE54" s="321">
        <v>17.899999999999999</v>
      </c>
      <c r="AF54" s="321">
        <v>570</v>
      </c>
      <c r="AG54" s="321">
        <v>27.5</v>
      </c>
      <c r="AH54" s="321">
        <f t="shared" ref="AH54:AH61" si="60">19*0.88</f>
        <v>16.72</v>
      </c>
      <c r="AI54" s="612">
        <f t="shared" si="46"/>
        <v>54.049199999999928</v>
      </c>
      <c r="AJ54" s="321">
        <f t="shared" si="59"/>
        <v>129.58000000000004</v>
      </c>
      <c r="AK54" s="610">
        <f t="shared" si="48"/>
        <v>11.097999999999999</v>
      </c>
      <c r="AL54" s="610">
        <f>57*AE54/100</f>
        <v>10.202999999999999</v>
      </c>
      <c r="AM54" s="610">
        <f>5*AE54/100</f>
        <v>0.89500000000000002</v>
      </c>
      <c r="AN54" s="321"/>
      <c r="AO54" s="321"/>
      <c r="AP54" s="321"/>
      <c r="AQ54" s="612">
        <f t="shared" si="50"/>
        <v>-34.313099999999963</v>
      </c>
      <c r="AR54" s="847">
        <f t="shared" si="51"/>
        <v>367.05799999999999</v>
      </c>
      <c r="AS54" s="321">
        <f t="shared" si="49"/>
        <v>60.389400000000023</v>
      </c>
      <c r="AT54" s="612">
        <f t="shared" si="29"/>
        <v>699.58</v>
      </c>
      <c r="AU54" s="852">
        <v>0.89</v>
      </c>
      <c r="AV54" s="852">
        <v>0.9</v>
      </c>
      <c r="AW54" s="852">
        <v>0.5</v>
      </c>
      <c r="AX54" s="852">
        <v>0.28000000000000003</v>
      </c>
      <c r="AY54" s="852">
        <v>0.93</v>
      </c>
      <c r="AZ54" s="303">
        <f>0.66*H54/1000</f>
        <v>0.58080000000000009</v>
      </c>
      <c r="BA54" s="321">
        <f>$BA$53/$H$53*H54*K54/$K$53</f>
        <v>36.4</v>
      </c>
      <c r="BB54" s="321">
        <f>$BB$53/$H$53*H54*K54/$K$53</f>
        <v>169.52</v>
      </c>
      <c r="BC54" s="381">
        <f t="shared" si="4"/>
        <v>15.196126554399997</v>
      </c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7"/>
      <c r="CW54" s="277"/>
      <c r="CX54" s="277"/>
      <c r="CY54" s="277"/>
      <c r="CZ54" s="277"/>
      <c r="DA54" s="277"/>
      <c r="DB54" s="277"/>
      <c r="DC54" s="277"/>
      <c r="DD54" s="277"/>
      <c r="DE54" s="277"/>
      <c r="DF54" s="277"/>
      <c r="DG54" s="277"/>
      <c r="DH54" s="277"/>
      <c r="DI54" s="277"/>
      <c r="DJ54" s="277"/>
      <c r="DK54" s="277"/>
      <c r="DL54" s="277"/>
      <c r="DM54" s="277"/>
      <c r="DN54" s="277"/>
      <c r="DO54" s="277"/>
      <c r="DP54" s="277"/>
      <c r="DQ54" s="277"/>
      <c r="DR54" s="277"/>
      <c r="DS54" s="277"/>
      <c r="DT54" s="277"/>
      <c r="DU54" s="277"/>
      <c r="DV54" s="277"/>
      <c r="DW54" s="277"/>
      <c r="DX54" s="277"/>
      <c r="DY54" s="277"/>
      <c r="DZ54" s="277"/>
      <c r="EA54" s="277"/>
      <c r="EB54" s="277"/>
      <c r="EC54" s="277"/>
      <c r="ED54" s="277"/>
      <c r="EE54" s="277"/>
      <c r="EF54" s="277"/>
      <c r="EG54" s="277"/>
      <c r="EH54" s="277"/>
      <c r="EI54" s="277"/>
      <c r="EJ54" s="277"/>
      <c r="EK54" s="277"/>
      <c r="EL54" s="277"/>
      <c r="EM54" s="277"/>
    </row>
    <row r="55" spans="1:143" s="3" customFormat="1" ht="12.5" customHeight="1">
      <c r="A55" s="897" t="str">
        <f t="shared" si="52"/>
        <v xml:space="preserve">Weizen  11% RP </v>
      </c>
      <c r="B55" s="298">
        <f>IF(D55=""," ",COUNTA($D$8:D57))</f>
        <v>50</v>
      </c>
      <c r="C55" s="327"/>
      <c r="D55" s="481" t="s">
        <v>51</v>
      </c>
      <c r="E55" s="618">
        <f>IF(I55=0," ",ROUND(I55/10,0))</f>
        <v>11</v>
      </c>
      <c r="F55" s="312"/>
      <c r="G55" s="313" t="s">
        <v>151</v>
      </c>
      <c r="H55" s="314">
        <v>880</v>
      </c>
      <c r="I55" s="314">
        <v>109.9</v>
      </c>
      <c r="J55" s="314">
        <f>I55*0.9</f>
        <v>98.910000000000011</v>
      </c>
      <c r="K55" s="314">
        <v>26</v>
      </c>
      <c r="L55" s="317">
        <f t="shared" si="43"/>
        <v>13.621335240000002</v>
      </c>
      <c r="M55" s="317">
        <f t="shared" si="53"/>
        <v>13.74602428</v>
      </c>
      <c r="N55" s="315">
        <f>IF(I55=0," ",I55*0.0182+1.13)</f>
        <v>3.1301800000000002</v>
      </c>
      <c r="O55" s="316">
        <f>IF(N55=" "," ",N55*0.88)</f>
        <v>2.7545584000000001</v>
      </c>
      <c r="P55" s="315">
        <f>IF(N55=" "," ",I55*0.0305+0.75)</f>
        <v>4.1019500000000004</v>
      </c>
      <c r="Q55" s="316">
        <f t="shared" si="54"/>
        <v>3.7054281666666675</v>
      </c>
      <c r="R55" s="315">
        <f>IF(N55=" "," ",I55*0.0233+0.56)</f>
        <v>3.1206700000000005</v>
      </c>
      <c r="S55" s="316">
        <f>IF(N55=" "," ",R55*0.9)</f>
        <v>2.8086030000000006</v>
      </c>
      <c r="T55" s="315">
        <f>IF(N55=" "," ",I55*0.0121+0.12)</f>
        <v>1.4497900000000001</v>
      </c>
      <c r="U55" s="316">
        <f>IF(N55=" "," ",T55*0.88)</f>
        <v>1.2758152</v>
      </c>
      <c r="V55" s="316">
        <v>0.7</v>
      </c>
      <c r="W55" s="315">
        <v>3.3</v>
      </c>
      <c r="X55" s="315">
        <f t="shared" si="55"/>
        <v>1.9799999999999998</v>
      </c>
      <c r="Y55" s="316">
        <f t="shared" si="44"/>
        <v>2.145</v>
      </c>
      <c r="Z55" s="315">
        <v>1.1000000000000001</v>
      </c>
      <c r="AA55" s="317">
        <v>0.2</v>
      </c>
      <c r="AB55" s="318">
        <v>3.8</v>
      </c>
      <c r="AC55" s="315">
        <f>IF($I55=""," ",$I55*0.0125+0.3)</f>
        <v>1.6737500000000003</v>
      </c>
      <c r="AD55" s="315">
        <f t="shared" si="45"/>
        <v>1.4729000000000003</v>
      </c>
      <c r="AE55" s="314">
        <v>17.5</v>
      </c>
      <c r="AF55" s="314">
        <v>575.9</v>
      </c>
      <c r="AG55" s="314">
        <v>28</v>
      </c>
      <c r="AH55" s="314">
        <f t="shared" si="60"/>
        <v>16.72</v>
      </c>
      <c r="AI55" s="314">
        <f t="shared" si="46"/>
        <v>56.759200000000078</v>
      </c>
      <c r="AJ55" s="314">
        <f t="shared" si="59"/>
        <v>133.98000000000002</v>
      </c>
      <c r="AK55" s="315">
        <f t="shared" si="48"/>
        <v>10.85</v>
      </c>
      <c r="AL55" s="315">
        <f>57*AE55/100</f>
        <v>9.9749999999999996</v>
      </c>
      <c r="AM55" s="315">
        <f>5*AE55/100</f>
        <v>0.875</v>
      </c>
      <c r="AN55" s="314"/>
      <c r="AO55" s="314"/>
      <c r="AP55" s="314"/>
      <c r="AQ55" s="314">
        <f t="shared" si="50"/>
        <v>-30.387749999999965</v>
      </c>
      <c r="AR55" s="314">
        <f t="shared" si="51"/>
        <v>342.30799999999999</v>
      </c>
      <c r="AS55" s="314">
        <f t="shared" si="49"/>
        <v>63.568399999999997</v>
      </c>
      <c r="AT55" s="314">
        <f t="shared" si="29"/>
        <v>709.88</v>
      </c>
      <c r="AU55" s="854">
        <v>0.89</v>
      </c>
      <c r="AV55" s="854">
        <v>0.9</v>
      </c>
      <c r="AW55" s="854">
        <v>0.5</v>
      </c>
      <c r="AX55" s="854">
        <v>0.28000000000000003</v>
      </c>
      <c r="AY55" s="854">
        <v>0.93</v>
      </c>
      <c r="AZ55" s="317">
        <f>0.66*H55/1000</f>
        <v>0.58080000000000009</v>
      </c>
      <c r="BA55" s="314">
        <f>$BA$53/$H$53*H55*K55/$K$53</f>
        <v>36.4</v>
      </c>
      <c r="BB55" s="314">
        <f>$BB$53/$H$53*H55*K55/$K$53</f>
        <v>169.52</v>
      </c>
      <c r="BC55" s="317">
        <f t="shared" si="4"/>
        <v>15.492397724399998</v>
      </c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277"/>
      <c r="BQ55" s="277"/>
      <c r="BR55" s="277"/>
      <c r="BS55" s="277"/>
      <c r="BT55" s="277"/>
      <c r="BU55" s="277"/>
      <c r="BV55" s="277"/>
      <c r="BW55" s="277"/>
      <c r="BX55" s="277"/>
      <c r="BY55" s="277"/>
      <c r="BZ55" s="277"/>
      <c r="CA55" s="277"/>
      <c r="CB55" s="277"/>
      <c r="CC55" s="277"/>
      <c r="CD55" s="277"/>
      <c r="CE55" s="277"/>
      <c r="CF55" s="277"/>
      <c r="CG55" s="277"/>
      <c r="CH55" s="277"/>
      <c r="CI55" s="277"/>
      <c r="CJ55" s="277"/>
      <c r="CK55" s="277"/>
      <c r="CL55" s="277"/>
      <c r="CM55" s="277"/>
      <c r="CN55" s="277"/>
      <c r="CO55" s="277"/>
      <c r="CP55" s="277"/>
      <c r="CQ55" s="277"/>
      <c r="CR55" s="277"/>
      <c r="CS55" s="277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</row>
    <row r="56" spans="1:143" s="3" customFormat="1" ht="12.5" customHeight="1">
      <c r="A56" s="897" t="str">
        <f t="shared" si="52"/>
        <v>eigener Weizen 11% RP Ø 2016</v>
      </c>
      <c r="B56" s="298">
        <f>IF(D56=""," ",COUNTA($D$8:D56))</f>
        <v>49</v>
      </c>
      <c r="C56" s="327"/>
      <c r="D56" s="480" t="s">
        <v>292</v>
      </c>
      <c r="E56" s="619">
        <f t="shared" si="0"/>
        <v>11</v>
      </c>
      <c r="F56" s="306" t="str">
        <f>IF(I56=108.5,"Ø 2016","")</f>
        <v>Ø 2016</v>
      </c>
      <c r="G56" s="305"/>
      <c r="H56" s="91">
        <v>880</v>
      </c>
      <c r="I56" s="91">
        <v>108.5</v>
      </c>
      <c r="J56" s="306">
        <f>IF(I56=0," ",I56*0.9)</f>
        <v>97.65</v>
      </c>
      <c r="K56" s="91">
        <v>26.2</v>
      </c>
      <c r="L56" s="988">
        <f>IF($I56=""," ",I56*0.0205*AV56+0.0398*AW56*AE56+0.0173*AF56+0.016*$AG56+0.0147*AI56)</f>
        <v>13.6816923</v>
      </c>
      <c r="M56" s="988">
        <f t="shared" si="53"/>
        <v>13.774180100000002</v>
      </c>
      <c r="N56" s="307">
        <f>IF(I56=0," ",(I56/H56*880*0.0182+1.13)/880*H56)</f>
        <v>3.1047000000000002</v>
      </c>
      <c r="O56" s="308">
        <f t="shared" si="56"/>
        <v>2.7321360000000001</v>
      </c>
      <c r="P56" s="307">
        <f>IF(N56=" "," ",(I56/H56*880*0.0305+0.75)/880*H56)</f>
        <v>4.0592500000000005</v>
      </c>
      <c r="Q56" s="307">
        <f t="shared" si="54"/>
        <v>3.6668558333333343</v>
      </c>
      <c r="R56" s="307">
        <f>IF(N56=" "," ",(I56/H56*880*0.0233+0.56)/880*H56)</f>
        <v>3.0880500000000004</v>
      </c>
      <c r="S56" s="308">
        <f t="shared" si="57"/>
        <v>2.7792450000000004</v>
      </c>
      <c r="T56" s="307">
        <f>IF(N56=" "," ",(I56/H56*880*0.0121+0.12)/880*H56)</f>
        <v>1.4328500000000002</v>
      </c>
      <c r="U56" s="308">
        <f t="shared" si="58"/>
        <v>1.2609080000000001</v>
      </c>
      <c r="V56" s="308">
        <v>0.7</v>
      </c>
      <c r="W56" s="307">
        <f t="shared" ref="W56:AB57" si="61">IF($I56=0," ",W$53*$H56/$H$53)</f>
        <v>3.3</v>
      </c>
      <c r="X56" s="307">
        <f t="shared" si="55"/>
        <v>1.9799999999999998</v>
      </c>
      <c r="Y56" s="307">
        <f t="shared" si="61"/>
        <v>2.145</v>
      </c>
      <c r="Z56" s="307">
        <f t="shared" si="61"/>
        <v>1.1000000000000001</v>
      </c>
      <c r="AA56" s="309">
        <v>0.2</v>
      </c>
      <c r="AB56" s="310">
        <f t="shared" si="61"/>
        <v>3.8</v>
      </c>
      <c r="AC56" s="307">
        <f>IF($I56=""," ",($I56/H56*880*0.0125+0.3)/880*H56)</f>
        <v>1.6562500000000002</v>
      </c>
      <c r="AD56" s="307">
        <f>IF($N56=" "," ",AC56*0.88)</f>
        <v>1.4575000000000002</v>
      </c>
      <c r="AE56" s="92">
        <v>17.899999999999999</v>
      </c>
      <c r="AF56" s="92">
        <v>601</v>
      </c>
      <c r="AG56" s="92">
        <v>27.8</v>
      </c>
      <c r="AH56" s="92">
        <v>16.899999999999999</v>
      </c>
      <c r="AI56" s="306">
        <f>IF($I56=""," ",(H56-AH56)*AU56-I56*AV56-AE56*AW56-AF56-AG56)</f>
        <v>32.758999999999972</v>
      </c>
      <c r="AJ56" s="306">
        <f t="shared" si="59"/>
        <v>109.5</v>
      </c>
      <c r="AK56" s="307">
        <f t="shared" ref="AK56:AP57" si="62">IF($I56=0," ",AK55*$H56/$H55)</f>
        <v>10.85</v>
      </c>
      <c r="AL56" s="307">
        <f t="shared" si="62"/>
        <v>9.9749999999999996</v>
      </c>
      <c r="AM56" s="307">
        <f t="shared" si="62"/>
        <v>0.875</v>
      </c>
      <c r="AN56" s="306">
        <f t="shared" si="62"/>
        <v>0</v>
      </c>
      <c r="AO56" s="306">
        <f t="shared" si="62"/>
        <v>0</v>
      </c>
      <c r="AP56" s="306">
        <f t="shared" si="62"/>
        <v>0</v>
      </c>
      <c r="AQ56" s="306">
        <f t="shared" si="50"/>
        <v>-29.832649999999962</v>
      </c>
      <c r="AR56" s="306">
        <f t="shared" si="51"/>
        <v>338.80799999999999</v>
      </c>
      <c r="AS56" s="306">
        <f>IF($I56=0," ",AX56*K56+AY56*AT56-AF56-AG56)</f>
        <v>39.301000000000002</v>
      </c>
      <c r="AT56" s="92">
        <f t="shared" si="29"/>
        <v>710.5</v>
      </c>
      <c r="AU56" s="853">
        <v>0.89</v>
      </c>
      <c r="AV56" s="853">
        <v>0.9</v>
      </c>
      <c r="AW56" s="853">
        <v>0.5</v>
      </c>
      <c r="AX56" s="853">
        <f>IF($I56=0," ",AX55)</f>
        <v>0.28000000000000003</v>
      </c>
      <c r="AY56" s="853">
        <f>IF($I56=0," ",AY55)</f>
        <v>0.93</v>
      </c>
      <c r="AZ56" s="309">
        <f>IF($I56=0," ",AZ$53*$H56/$H$53)</f>
        <v>0.58080000000000009</v>
      </c>
      <c r="BA56" s="92">
        <f>IF($I56=0," ",BA55*$H56/$H55*K56/K55)</f>
        <v>36.68</v>
      </c>
      <c r="BB56" s="92">
        <f>IF($I56=0," ",BB55*$H56/$H55*K56/K55)</f>
        <v>170.82400000000001</v>
      </c>
      <c r="BC56" s="988">
        <f t="shared" si="4"/>
        <v>15.942451473</v>
      </c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77"/>
      <c r="CO56" s="277"/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7"/>
      <c r="DB56" s="277"/>
      <c r="DC56" s="277"/>
      <c r="DD56" s="277"/>
      <c r="DE56" s="277"/>
      <c r="DF56" s="277"/>
      <c r="DG56" s="277"/>
      <c r="DH56" s="277"/>
      <c r="DI56" s="277"/>
      <c r="DJ56" s="277"/>
      <c r="DK56" s="277"/>
      <c r="DL56" s="277"/>
      <c r="DM56" s="277"/>
      <c r="DN56" s="277"/>
      <c r="DO56" s="277"/>
      <c r="DP56" s="277"/>
      <c r="DQ56" s="277"/>
      <c r="DR56" s="277"/>
      <c r="DS56" s="277"/>
      <c r="DT56" s="277"/>
      <c r="DU56" s="277"/>
      <c r="DV56" s="277"/>
      <c r="DW56" s="277"/>
      <c r="DX56" s="277"/>
      <c r="DY56" s="277"/>
      <c r="DZ56" s="277"/>
      <c r="EA56" s="277"/>
      <c r="EB56" s="277"/>
      <c r="EC56" s="277"/>
      <c r="ED56" s="277"/>
      <c r="EE56" s="277"/>
      <c r="EF56" s="277"/>
      <c r="EG56" s="277"/>
      <c r="EH56" s="277"/>
      <c r="EI56" s="277"/>
      <c r="EJ56" s="277"/>
      <c r="EK56" s="277"/>
      <c r="EL56" s="277"/>
      <c r="EM56" s="277"/>
    </row>
    <row r="57" spans="1:143" s="3" customFormat="1" ht="12.5" customHeight="1">
      <c r="A57" s="897" t="str">
        <f t="shared" si="52"/>
        <v>eigener Weizen 2 11% RP Ø 2015</v>
      </c>
      <c r="B57" s="298">
        <f>IF(D57=""," ",COUNTA($D$8:D57))</f>
        <v>50</v>
      </c>
      <c r="C57" s="327"/>
      <c r="D57" s="480" t="s">
        <v>332</v>
      </c>
      <c r="E57" s="619">
        <f>IF(I57=0," ",ROUND(I57/10,0))</f>
        <v>11</v>
      </c>
      <c r="F57" s="306" t="str">
        <f>IF(I57=106.475,"Ø 2015","")</f>
        <v>Ø 2015</v>
      </c>
      <c r="G57" s="305"/>
      <c r="H57" s="91">
        <v>880</v>
      </c>
      <c r="I57" s="91">
        <v>106.47499999999999</v>
      </c>
      <c r="J57" s="306">
        <f>IF(I57=0," ",I57*0.9)</f>
        <v>95.827500000000001</v>
      </c>
      <c r="K57" s="91">
        <v>26.335000000000001</v>
      </c>
      <c r="L57" s="988">
        <f>IF($I57=""," ",I57*0.0205*AV57+0.0398*AW57*AE57+0.0173*AF57+0.016*$AG57+0.0147*AI57)</f>
        <v>13.647484240000002</v>
      </c>
      <c r="M57" s="988">
        <f>IF(I57=""," ",$I57*0.021503+0.032497*$AE57+0.016309*$AF57+0.014701*$AJ57-0.021071*$K57)</f>
        <v>13.74062945</v>
      </c>
      <c r="N57" s="307">
        <f>IF(I57=0," ",(I57/H57*880*0.0182+1.13)/880*H57)</f>
        <v>3.0678450000000002</v>
      </c>
      <c r="O57" s="308">
        <f>IF(N57=" "," ",N57*0.88)</f>
        <v>2.6997036000000003</v>
      </c>
      <c r="P57" s="307">
        <f>IF(N57=" "," ",(I57/H57*880*0.0305+0.75)/880*H57)</f>
        <v>3.9974874999999996</v>
      </c>
      <c r="Q57" s="307">
        <f t="shared" si="54"/>
        <v>3.611063708333333</v>
      </c>
      <c r="R57" s="307">
        <f>IF(N57=" "," ",(I57/H57*880*0.0233+0.56)/880*H57)</f>
        <v>3.0408675000000001</v>
      </c>
      <c r="S57" s="308">
        <f>IF(N57=" "," ",R57*0.9)</f>
        <v>2.7367807500000003</v>
      </c>
      <c r="T57" s="307">
        <f>IF(N57=" "," ",(I57/H57*880*0.0121+0.12)/880*H57)</f>
        <v>1.4083475000000001</v>
      </c>
      <c r="U57" s="308">
        <f>IF(N57=" "," ",T57*0.88)</f>
        <v>1.2393458000000002</v>
      </c>
      <c r="V57" s="308">
        <v>0.7</v>
      </c>
      <c r="W57" s="307">
        <f t="shared" si="61"/>
        <v>3.3</v>
      </c>
      <c r="X57" s="307">
        <f t="shared" si="55"/>
        <v>1.9799999999999998</v>
      </c>
      <c r="Y57" s="307">
        <f t="shared" si="61"/>
        <v>2.145</v>
      </c>
      <c r="Z57" s="307">
        <f t="shared" si="61"/>
        <v>1.1000000000000001</v>
      </c>
      <c r="AA57" s="309">
        <v>0.2</v>
      </c>
      <c r="AB57" s="310">
        <f t="shared" si="61"/>
        <v>3.8</v>
      </c>
      <c r="AC57" s="307">
        <f>IF($I57=""," ",($I57/H57*880*0.0125+0.3)/880*H57)</f>
        <v>1.6309375000000002</v>
      </c>
      <c r="AD57" s="307">
        <f>IF($N57=" "," ",AC57*0.88)</f>
        <v>1.4352250000000002</v>
      </c>
      <c r="AE57" s="92">
        <v>17.762</v>
      </c>
      <c r="AF57" s="92">
        <v>591.58600000000001</v>
      </c>
      <c r="AG57" s="92">
        <v>27.966000000000001</v>
      </c>
      <c r="AH57" s="92">
        <v>16.72</v>
      </c>
      <c r="AI57" s="306">
        <f>IF($I57=""," ",(H57-AH57)*AU57-I57*AV57-AE57*AW57-AF57-AG57)</f>
        <v>44.058700000000051</v>
      </c>
      <c r="AJ57" s="306">
        <f t="shared" si="59"/>
        <v>121.12199999999996</v>
      </c>
      <c r="AK57" s="307">
        <f t="shared" si="62"/>
        <v>10.85</v>
      </c>
      <c r="AL57" s="307">
        <f t="shared" si="62"/>
        <v>9.9749999999999996</v>
      </c>
      <c r="AM57" s="307">
        <f t="shared" si="62"/>
        <v>0.875</v>
      </c>
      <c r="AN57" s="306">
        <f t="shared" si="62"/>
        <v>0</v>
      </c>
      <c r="AO57" s="306">
        <f t="shared" si="62"/>
        <v>0</v>
      </c>
      <c r="AP57" s="306">
        <f t="shared" si="62"/>
        <v>0</v>
      </c>
      <c r="AQ57" s="306">
        <f>IF(H57="","",50*V57+83*Z57+26*AB57+44*AA57-59*W57-13*P57-28*AZ57)</f>
        <v>-29.02973749999995</v>
      </c>
      <c r="AR57" s="306">
        <f>IF(H57="","",V57/1000*20140+Z57/1000*48600+1100/440*I57)</f>
        <v>333.74549999999999</v>
      </c>
      <c r="AS57" s="306">
        <f>IF($I57=0," ",AX57*K57+AY57*AT57-AF57-AG57)</f>
        <v>50.640239999999842</v>
      </c>
      <c r="AT57" s="92">
        <f t="shared" si="29"/>
        <v>712.70799999999986</v>
      </c>
      <c r="AU57" s="853">
        <v>0.89</v>
      </c>
      <c r="AV57" s="853">
        <v>0.9</v>
      </c>
      <c r="AW57" s="853">
        <v>0.5</v>
      </c>
      <c r="AX57" s="853">
        <f>IF($I57=0," ",AX56)</f>
        <v>0.28000000000000003</v>
      </c>
      <c r="AY57" s="853">
        <f>IF($I57=0," ",AY56)</f>
        <v>0.93</v>
      </c>
      <c r="AZ57" s="309">
        <f>IF($I57=0," ",AZ$53*$H57/$H$53)</f>
        <v>0.58080000000000009</v>
      </c>
      <c r="BA57" s="92">
        <f>IF($I57=0," ",BA56*$H57/$H56*K57/K56)</f>
        <v>36.869</v>
      </c>
      <c r="BB57" s="92">
        <f>IF($I57=0," ",BB56*$H57/$H56*K57/K56)</f>
        <v>171.70420000000004</v>
      </c>
      <c r="BC57" s="988">
        <f t="shared" si="4"/>
        <v>15.8203244985</v>
      </c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77"/>
      <c r="CI57" s="277"/>
      <c r="CJ57" s="277"/>
      <c r="CK57" s="277"/>
      <c r="CL57" s="277"/>
      <c r="CM57" s="277"/>
      <c r="CN57" s="277"/>
      <c r="CO57" s="277"/>
      <c r="CP57" s="277"/>
      <c r="CQ57" s="277"/>
      <c r="CR57" s="277"/>
      <c r="CS57" s="277"/>
      <c r="CT57" s="277"/>
      <c r="CU57" s="277"/>
      <c r="CV57" s="277"/>
      <c r="CW57" s="277"/>
      <c r="CX57" s="277"/>
      <c r="CY57" s="277"/>
      <c r="CZ57" s="277"/>
      <c r="DA57" s="277"/>
      <c r="DB57" s="277"/>
      <c r="DC57" s="277"/>
      <c r="DD57" s="277"/>
      <c r="DE57" s="277"/>
      <c r="DF57" s="277"/>
      <c r="DG57" s="277"/>
      <c r="DH57" s="277"/>
      <c r="DI57" s="277"/>
      <c r="DJ57" s="277"/>
      <c r="DK57" s="277"/>
      <c r="DL57" s="277"/>
      <c r="DM57" s="277"/>
      <c r="DN57" s="277"/>
      <c r="DO57" s="277"/>
      <c r="DP57" s="277"/>
      <c r="DQ57" s="277"/>
      <c r="DR57" s="277"/>
      <c r="DS57" s="277"/>
      <c r="DT57" s="277"/>
      <c r="DU57" s="277"/>
      <c r="DV57" s="277"/>
      <c r="DW57" s="277"/>
      <c r="DX57" s="277"/>
      <c r="DY57" s="277"/>
      <c r="DZ57" s="277"/>
      <c r="EA57" s="277"/>
      <c r="EB57" s="277"/>
      <c r="EC57" s="277"/>
      <c r="ED57" s="277"/>
      <c r="EE57" s="277"/>
      <c r="EF57" s="277"/>
      <c r="EG57" s="277"/>
      <c r="EH57" s="277"/>
      <c r="EI57" s="277"/>
      <c r="EJ57" s="277"/>
      <c r="EK57" s="277"/>
      <c r="EL57" s="277"/>
      <c r="EM57" s="277"/>
    </row>
    <row r="58" spans="1:143" s="3" customFormat="1" ht="12.5" customHeight="1">
      <c r="A58" s="897" t="str">
        <f t="shared" si="52"/>
        <v xml:space="preserve">Weizen  10% RP </v>
      </c>
      <c r="B58" s="298">
        <f>IF(D58=""," ",COUNTA($D$8:D58))</f>
        <v>51</v>
      </c>
      <c r="C58" s="327"/>
      <c r="D58" s="482" t="s">
        <v>51</v>
      </c>
      <c r="E58" s="617">
        <f>IF(I58=0," ",ROUND(I58/10,0))</f>
        <v>10</v>
      </c>
      <c r="F58" s="319"/>
      <c r="G58" s="320" t="s">
        <v>544</v>
      </c>
      <c r="H58" s="321">
        <v>880</v>
      </c>
      <c r="I58" s="321">
        <v>101.1</v>
      </c>
      <c r="J58" s="275">
        <f>I58*0.9</f>
        <v>90.99</v>
      </c>
      <c r="K58" s="275">
        <v>26</v>
      </c>
      <c r="L58" s="381">
        <f t="shared" ref="L58:L63" si="63">I58*0.0205*AV58+0.0398*AW58*AE58+0.0173*AF58+0.016*$AG58+0.0147*AI58</f>
        <v>13.601399240000001</v>
      </c>
      <c r="M58" s="322">
        <f t="shared" si="53"/>
        <v>13.70224668</v>
      </c>
      <c r="N58" s="311">
        <f>IF(I58=0," ",I58*0.0182+1.13)</f>
        <v>2.9700199999999999</v>
      </c>
      <c r="O58" s="302">
        <f t="shared" si="56"/>
        <v>2.6136176</v>
      </c>
      <c r="P58" s="311">
        <f>IF(N58=" "," ",I58*0.0305+0.75)</f>
        <v>3.8335499999999998</v>
      </c>
      <c r="Q58" s="302">
        <f t="shared" si="54"/>
        <v>3.4629735000000004</v>
      </c>
      <c r="R58" s="311">
        <f>IF(N58=" "," ",I58*0.0233+0.56)</f>
        <v>2.9156300000000002</v>
      </c>
      <c r="S58" s="302">
        <f>IF(N58=" "," ",R58*0.9)</f>
        <v>2.6240670000000001</v>
      </c>
      <c r="T58" s="311">
        <f t="shared" ref="T58:T63" si="64">IF(N58=" "," ",I58*0.0121+0.12)</f>
        <v>1.3433099999999998</v>
      </c>
      <c r="U58" s="302">
        <f>IF(N58=" "," ",T58*0.88)</f>
        <v>1.1821127999999999</v>
      </c>
      <c r="V58" s="274">
        <v>0.7</v>
      </c>
      <c r="W58" s="311">
        <v>3.3</v>
      </c>
      <c r="X58" s="301">
        <f t="shared" si="55"/>
        <v>1.9799999999999998</v>
      </c>
      <c r="Y58" s="302">
        <f t="shared" ref="Y58:Y68" si="65">W58*0.65</f>
        <v>2.145</v>
      </c>
      <c r="Z58" s="311">
        <v>1.1000000000000001</v>
      </c>
      <c r="AA58" s="303">
        <v>0.2</v>
      </c>
      <c r="AB58" s="323">
        <v>3.8</v>
      </c>
      <c r="AC58" s="311">
        <f>IF($I58=""," ",$I58*0.0125+0.3)</f>
        <v>1.56375</v>
      </c>
      <c r="AD58" s="311">
        <f t="shared" si="45"/>
        <v>1.3760999999999999</v>
      </c>
      <c r="AE58" s="321">
        <v>17.5</v>
      </c>
      <c r="AF58" s="321">
        <v>585.9</v>
      </c>
      <c r="AG58" s="321">
        <v>28</v>
      </c>
      <c r="AH58" s="321">
        <f t="shared" si="60"/>
        <v>16.72</v>
      </c>
      <c r="AI58" s="612">
        <f t="shared" ref="AI58:AI63" si="66">(H58-AH58)*AU58-I58*AV58-AE58*AW58-AF58-AG58</f>
        <v>54.679200000000037</v>
      </c>
      <c r="AJ58" s="321">
        <f t="shared" si="59"/>
        <v>132.77999999999997</v>
      </c>
      <c r="AK58" s="610">
        <f t="shared" ref="AK58:AK65" si="67">AL58+AM58</f>
        <v>10.85</v>
      </c>
      <c r="AL58" s="610">
        <f t="shared" ref="AL58:AL63" si="68">57*AE58/100</f>
        <v>9.9749999999999996</v>
      </c>
      <c r="AM58" s="610">
        <f t="shared" ref="AM58:AM63" si="69">5*AE58/100</f>
        <v>0.875</v>
      </c>
      <c r="AN58" s="321"/>
      <c r="AO58" s="321"/>
      <c r="AP58" s="321"/>
      <c r="AQ58" s="612">
        <f t="shared" si="50"/>
        <v>-26.898549999999954</v>
      </c>
      <c r="AR58" s="847">
        <f t="shared" si="51"/>
        <v>320.30799999999999</v>
      </c>
      <c r="AS58" s="321">
        <f t="shared" ref="AS58:AS63" si="70">AX58*K58+AY58*AT58-AF58-AG58</f>
        <v>61.752399999999966</v>
      </c>
      <c r="AT58" s="612">
        <f t="shared" si="29"/>
        <v>718.68</v>
      </c>
      <c r="AU58" s="852">
        <v>0.89</v>
      </c>
      <c r="AV58" s="852">
        <v>0.9</v>
      </c>
      <c r="AW58" s="852">
        <v>0.5</v>
      </c>
      <c r="AX58" s="852">
        <v>0.28000000000000003</v>
      </c>
      <c r="AY58" s="852">
        <v>0.93</v>
      </c>
      <c r="AZ58" s="303">
        <f t="shared" ref="AZ58:AZ68" si="71">0.66*H58/1000</f>
        <v>0.58080000000000009</v>
      </c>
      <c r="BA58" s="321">
        <f t="shared" ref="BA58:BA63" si="72">$BA$53/$H$53*H58*K58/$K$53</f>
        <v>36.4</v>
      </c>
      <c r="BB58" s="321">
        <f t="shared" ref="BB58:BB63" si="73">$BB$53/$H$53*H58*K58/$K$53</f>
        <v>169.52</v>
      </c>
      <c r="BC58" s="381">
        <f t="shared" si="4"/>
        <v>15.856840076399999</v>
      </c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77"/>
      <c r="CI58" s="277"/>
      <c r="CJ58" s="277"/>
      <c r="CK58" s="277"/>
      <c r="CL58" s="277"/>
      <c r="CM58" s="277"/>
      <c r="CN58" s="277"/>
      <c r="CO58" s="277"/>
      <c r="CP58" s="277"/>
      <c r="CQ58" s="277"/>
      <c r="CR58" s="277"/>
      <c r="CS58" s="277"/>
      <c r="CT58" s="277"/>
      <c r="CU58" s="277"/>
      <c r="CV58" s="277"/>
      <c r="CW58" s="277"/>
      <c r="CX58" s="277"/>
      <c r="CY58" s="277"/>
      <c r="CZ58" s="277"/>
      <c r="DA58" s="277"/>
      <c r="DB58" s="277"/>
      <c r="DC58" s="277"/>
      <c r="DD58" s="277"/>
      <c r="DE58" s="277"/>
      <c r="DF58" s="277"/>
      <c r="DG58" s="277"/>
      <c r="DH58" s="277"/>
      <c r="DI58" s="277"/>
      <c r="DJ58" s="277"/>
      <c r="DK58" s="277"/>
      <c r="DL58" s="277"/>
      <c r="DM58" s="277"/>
      <c r="DN58" s="277"/>
      <c r="DO58" s="277"/>
      <c r="DP58" s="277"/>
      <c r="DQ58" s="277"/>
      <c r="DR58" s="277"/>
      <c r="DS58" s="277"/>
      <c r="DT58" s="277"/>
      <c r="DU58" s="277"/>
      <c r="DV58" s="277"/>
      <c r="DW58" s="277"/>
      <c r="DX58" s="277"/>
      <c r="DY58" s="277"/>
      <c r="DZ58" s="277"/>
      <c r="EA58" s="277"/>
      <c r="EB58" s="277"/>
      <c r="EC58" s="277"/>
      <c r="ED58" s="277"/>
      <c r="EE58" s="277"/>
      <c r="EF58" s="277"/>
      <c r="EG58" s="277"/>
      <c r="EH58" s="277"/>
      <c r="EI58" s="277"/>
      <c r="EJ58" s="277"/>
      <c r="EK58" s="277"/>
      <c r="EL58" s="277"/>
      <c r="EM58" s="277"/>
    </row>
    <row r="59" spans="1:143" s="4" customFormat="1" ht="12.5" customHeight="1">
      <c r="A59" s="897" t="str">
        <f t="shared" si="52"/>
        <v xml:space="preserve">Weizen  9% RP </v>
      </c>
      <c r="B59" s="298">
        <f>IF(D59=""," ",COUNTA($D$8:D59))</f>
        <v>52</v>
      </c>
      <c r="C59" s="327"/>
      <c r="D59" s="482" t="s">
        <v>51</v>
      </c>
      <c r="E59" s="617">
        <f t="shared" si="0"/>
        <v>9</v>
      </c>
      <c r="F59" s="319"/>
      <c r="G59" s="320" t="s">
        <v>68</v>
      </c>
      <c r="H59" s="321">
        <v>880</v>
      </c>
      <c r="I59" s="321">
        <v>90.9</v>
      </c>
      <c r="J59" s="275">
        <f>I59*0.9</f>
        <v>81.81</v>
      </c>
      <c r="K59" s="275">
        <v>26</v>
      </c>
      <c r="L59" s="381">
        <f t="shared" si="63"/>
        <v>13.55604024</v>
      </c>
      <c r="M59" s="322">
        <f t="shared" si="53"/>
        <v>13.638665880000001</v>
      </c>
      <c r="N59" s="311">
        <f>IF(I59=0," ",I59*0.0182+1.13)</f>
        <v>2.7843800000000001</v>
      </c>
      <c r="O59" s="302">
        <f t="shared" si="56"/>
        <v>2.4502543999999999</v>
      </c>
      <c r="P59" s="311">
        <f>IF(N59=" "," ",I59*0.0305+0.75)</f>
        <v>3.5224500000000001</v>
      </c>
      <c r="Q59" s="302">
        <f t="shared" si="54"/>
        <v>3.1819465000000005</v>
      </c>
      <c r="R59" s="311">
        <f>IF(N59=" "," ",I59*0.0233+0.56)</f>
        <v>2.6779700000000002</v>
      </c>
      <c r="S59" s="302">
        <f t="shared" si="57"/>
        <v>2.4101730000000003</v>
      </c>
      <c r="T59" s="311">
        <f t="shared" si="64"/>
        <v>1.2198899999999999</v>
      </c>
      <c r="U59" s="302">
        <f t="shared" si="58"/>
        <v>1.0735032</v>
      </c>
      <c r="V59" s="274">
        <v>0.7</v>
      </c>
      <c r="W59" s="311">
        <v>3.3</v>
      </c>
      <c r="X59" s="301">
        <f t="shared" si="55"/>
        <v>1.9799999999999998</v>
      </c>
      <c r="Y59" s="302">
        <f t="shared" si="65"/>
        <v>2.145</v>
      </c>
      <c r="Z59" s="311">
        <v>1.1000000000000001</v>
      </c>
      <c r="AA59" s="303">
        <v>0.2</v>
      </c>
      <c r="AB59" s="323">
        <v>3.8</v>
      </c>
      <c r="AC59" s="311">
        <f>IF($I59=""," ",$I59*0.0125+0.3)</f>
        <v>1.4362500000000002</v>
      </c>
      <c r="AD59" s="311">
        <f t="shared" si="45"/>
        <v>1.2639000000000002</v>
      </c>
      <c r="AE59" s="321">
        <v>17.600000000000001</v>
      </c>
      <c r="AF59" s="321">
        <v>588.4</v>
      </c>
      <c r="AG59" s="321">
        <v>28.1</v>
      </c>
      <c r="AH59" s="321">
        <f t="shared" si="60"/>
        <v>16.72</v>
      </c>
      <c r="AI59" s="612">
        <f t="shared" si="66"/>
        <v>61.209200000000031</v>
      </c>
      <c r="AJ59" s="321">
        <f t="shared" si="59"/>
        <v>140.38</v>
      </c>
      <c r="AK59" s="610">
        <f t="shared" si="67"/>
        <v>10.912000000000001</v>
      </c>
      <c r="AL59" s="610">
        <f t="shared" si="68"/>
        <v>10.032</v>
      </c>
      <c r="AM59" s="610">
        <f t="shared" si="69"/>
        <v>0.88</v>
      </c>
      <c r="AN59" s="321"/>
      <c r="AO59" s="321"/>
      <c r="AP59" s="321"/>
      <c r="AQ59" s="612">
        <f t="shared" si="50"/>
        <v>-22.854249999999961</v>
      </c>
      <c r="AR59" s="847">
        <f t="shared" si="51"/>
        <v>294.80799999999999</v>
      </c>
      <c r="AS59" s="321">
        <f t="shared" si="70"/>
        <v>68.545400000000001</v>
      </c>
      <c r="AT59" s="612">
        <f t="shared" si="29"/>
        <v>728.78</v>
      </c>
      <c r="AU59" s="852">
        <v>0.89</v>
      </c>
      <c r="AV59" s="852">
        <v>0.9</v>
      </c>
      <c r="AW59" s="852">
        <v>0.5</v>
      </c>
      <c r="AX59" s="852">
        <v>0.28000000000000003</v>
      </c>
      <c r="AY59" s="852">
        <v>0.93</v>
      </c>
      <c r="AZ59" s="303">
        <f t="shared" si="71"/>
        <v>0.58080000000000009</v>
      </c>
      <c r="BA59" s="321">
        <f t="shared" si="72"/>
        <v>36.4</v>
      </c>
      <c r="BB59" s="321">
        <f t="shared" si="73"/>
        <v>169.52</v>
      </c>
      <c r="BC59" s="381">
        <f t="shared" si="4"/>
        <v>16.139026092399998</v>
      </c>
      <c r="BD59" s="277"/>
      <c r="BE59" s="277"/>
      <c r="BF59" s="277"/>
      <c r="BG59" s="277"/>
      <c r="BH59" s="277"/>
      <c r="BI59" s="277"/>
      <c r="BJ59" s="277"/>
      <c r="BK59" s="277"/>
      <c r="BL59" s="277"/>
      <c r="BM59" s="277"/>
      <c r="BN59" s="277"/>
      <c r="BO59" s="277"/>
      <c r="BP59" s="277"/>
      <c r="BQ59" s="277"/>
      <c r="BR59" s="277"/>
      <c r="BS59" s="277"/>
      <c r="BT59" s="277"/>
      <c r="BU59" s="277"/>
      <c r="BV59" s="277"/>
      <c r="BW59" s="277"/>
      <c r="BX59" s="277"/>
      <c r="BY59" s="277"/>
      <c r="BZ59" s="277"/>
      <c r="CA59" s="277"/>
      <c r="CB59" s="277"/>
      <c r="CC59" s="277"/>
      <c r="CD59" s="277"/>
      <c r="CE59" s="277"/>
      <c r="CF59" s="277"/>
      <c r="CG59" s="277"/>
      <c r="CH59" s="277"/>
      <c r="CI59" s="277"/>
      <c r="CJ59" s="277"/>
      <c r="CK59" s="277"/>
      <c r="CL59" s="277"/>
      <c r="CM59" s="277"/>
      <c r="CN59" s="277"/>
      <c r="CO59" s="277"/>
      <c r="CP59" s="277"/>
      <c r="CQ59" s="277"/>
      <c r="CR59" s="277"/>
      <c r="CS59" s="277"/>
      <c r="CT59" s="277"/>
      <c r="CU59" s="277"/>
      <c r="CV59" s="277"/>
      <c r="CW59" s="277"/>
      <c r="CX59" s="277"/>
      <c r="CY59" s="277"/>
      <c r="CZ59" s="277"/>
      <c r="DA59" s="277"/>
      <c r="DB59" s="277"/>
      <c r="DC59" s="277"/>
      <c r="DD59" s="277"/>
      <c r="DE59" s="277"/>
      <c r="DF59" s="277"/>
      <c r="DG59" s="277"/>
      <c r="DH59" s="277"/>
      <c r="DI59" s="277"/>
      <c r="DJ59" s="277"/>
      <c r="DK59" s="277"/>
      <c r="DL59" s="277"/>
      <c r="DM59" s="277"/>
      <c r="DN59" s="277"/>
      <c r="DO59" s="277"/>
      <c r="DP59" s="277"/>
      <c r="DQ59" s="277"/>
      <c r="DR59" s="277"/>
      <c r="DS59" s="277"/>
      <c r="DT59" s="277"/>
      <c r="DU59" s="277"/>
      <c r="DV59" s="277"/>
      <c r="DW59" s="277"/>
      <c r="DX59" s="277"/>
      <c r="DY59" s="277"/>
      <c r="DZ59" s="277"/>
      <c r="EA59" s="277"/>
      <c r="EB59" s="277"/>
      <c r="EC59" s="277"/>
      <c r="ED59" s="277"/>
      <c r="EE59" s="277"/>
      <c r="EF59" s="277"/>
      <c r="EG59" s="277"/>
      <c r="EH59" s="277"/>
      <c r="EI59" s="277"/>
      <c r="EJ59" s="277"/>
      <c r="EK59" s="277"/>
      <c r="EL59" s="277"/>
      <c r="EM59" s="277"/>
    </row>
    <row r="60" spans="1:143" s="4" customFormat="1" ht="12.5" customHeight="1">
      <c r="A60" s="897" t="str">
        <f t="shared" si="52"/>
        <v xml:space="preserve">Weizen  8% RP </v>
      </c>
      <c r="B60" s="298">
        <f>IF(D60=""," ",COUNTA($D$8:D60))</f>
        <v>53</v>
      </c>
      <c r="C60" s="327"/>
      <c r="D60" s="482" t="s">
        <v>51</v>
      </c>
      <c r="E60" s="617">
        <f>IF(I60=0," ",ROUND(I60/10,0))</f>
        <v>8</v>
      </c>
      <c r="F60" s="319"/>
      <c r="G60" s="320" t="s">
        <v>43</v>
      </c>
      <c r="H60" s="321">
        <v>880</v>
      </c>
      <c r="I60" s="321">
        <v>82.6</v>
      </c>
      <c r="J60" s="275">
        <f>I60*0.9</f>
        <v>74.34</v>
      </c>
      <c r="K60" s="275">
        <v>27</v>
      </c>
      <c r="L60" s="381">
        <f t="shared" si="63"/>
        <v>13.55440924</v>
      </c>
      <c r="M60" s="322">
        <f t="shared" si="53"/>
        <v>13.567126480000001</v>
      </c>
      <c r="N60" s="311">
        <f>IF(I60=0," ",I60*0.0182+1.13)</f>
        <v>2.6333199999999999</v>
      </c>
      <c r="O60" s="302">
        <f t="shared" si="56"/>
        <v>2.3173216000000001</v>
      </c>
      <c r="P60" s="311">
        <f>IF(N60=" "," ",I60*0.0305+0.75)</f>
        <v>3.2692999999999999</v>
      </c>
      <c r="Q60" s="302">
        <f t="shared" si="54"/>
        <v>2.9532676666666671</v>
      </c>
      <c r="R60" s="311">
        <f>IF(N60=" "," ",I60*0.0233+0.56)</f>
        <v>2.4845800000000002</v>
      </c>
      <c r="S60" s="302">
        <f>IF(N60=" "," ",R60*0.9)</f>
        <v>2.2361220000000004</v>
      </c>
      <c r="T60" s="311">
        <f t="shared" si="64"/>
        <v>1.1194599999999999</v>
      </c>
      <c r="U60" s="302">
        <f>IF(N60=" "," ",T60*0.88)</f>
        <v>0.98512479999999991</v>
      </c>
      <c r="V60" s="274">
        <v>0.7</v>
      </c>
      <c r="W60" s="311">
        <v>3.3</v>
      </c>
      <c r="X60" s="301">
        <f t="shared" si="55"/>
        <v>1.9799999999999998</v>
      </c>
      <c r="Y60" s="302">
        <f t="shared" si="65"/>
        <v>2.145</v>
      </c>
      <c r="Z60" s="311">
        <v>1.1000000000000001</v>
      </c>
      <c r="AA60" s="303">
        <v>0.2</v>
      </c>
      <c r="AB60" s="323">
        <v>3.8</v>
      </c>
      <c r="AC60" s="311">
        <f>IF($I60=""," ",$I60*0.0125+0.3)</f>
        <v>1.3325</v>
      </c>
      <c r="AD60" s="311">
        <f t="shared" si="45"/>
        <v>1.1726000000000001</v>
      </c>
      <c r="AE60" s="321">
        <v>17.100000000000001</v>
      </c>
      <c r="AF60" s="321">
        <v>606.79999999999995</v>
      </c>
      <c r="AG60" s="321">
        <v>28.2</v>
      </c>
      <c r="AH60" s="321">
        <f t="shared" si="60"/>
        <v>16.72</v>
      </c>
      <c r="AI60" s="612">
        <f t="shared" si="66"/>
        <v>50.42920000000008</v>
      </c>
      <c r="AJ60" s="321">
        <f t="shared" si="59"/>
        <v>129.77999999999997</v>
      </c>
      <c r="AK60" s="610">
        <f t="shared" si="67"/>
        <v>10.602</v>
      </c>
      <c r="AL60" s="610">
        <f t="shared" si="68"/>
        <v>9.7469999999999999</v>
      </c>
      <c r="AM60" s="610">
        <f t="shared" si="69"/>
        <v>0.85499999999999998</v>
      </c>
      <c r="AN60" s="321"/>
      <c r="AO60" s="321"/>
      <c r="AP60" s="321"/>
      <c r="AQ60" s="612">
        <f t="shared" si="50"/>
        <v>-19.563299999999959</v>
      </c>
      <c r="AR60" s="847">
        <f t="shared" si="51"/>
        <v>274.05799999999999</v>
      </c>
      <c r="AS60" s="321">
        <f t="shared" si="70"/>
        <v>57.579400000000007</v>
      </c>
      <c r="AT60" s="612">
        <f t="shared" si="29"/>
        <v>736.57999999999993</v>
      </c>
      <c r="AU60" s="852">
        <v>0.89</v>
      </c>
      <c r="AV60" s="852">
        <v>0.9</v>
      </c>
      <c r="AW60" s="852">
        <v>0.5</v>
      </c>
      <c r="AX60" s="852">
        <v>0.28000000000000003</v>
      </c>
      <c r="AY60" s="852">
        <v>0.93</v>
      </c>
      <c r="AZ60" s="303">
        <f t="shared" si="71"/>
        <v>0.58080000000000009</v>
      </c>
      <c r="BA60" s="321">
        <f t="shared" si="72"/>
        <v>37.799999999999997</v>
      </c>
      <c r="BB60" s="321">
        <f t="shared" si="73"/>
        <v>176.04</v>
      </c>
      <c r="BC60" s="381">
        <f t="shared" si="4"/>
        <v>16.526702330400003</v>
      </c>
      <c r="BD60" s="277"/>
      <c r="BE60" s="277"/>
      <c r="BF60" s="277"/>
      <c r="BG60" s="277"/>
      <c r="BH60" s="277"/>
      <c r="BI60" s="277"/>
      <c r="BJ60" s="277"/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/>
      <c r="BX60" s="277"/>
      <c r="BY60" s="277"/>
      <c r="BZ60" s="277"/>
      <c r="CA60" s="277"/>
      <c r="CB60" s="277"/>
      <c r="CC60" s="277"/>
      <c r="CD60" s="277"/>
      <c r="CE60" s="277"/>
      <c r="CF60" s="277"/>
      <c r="CG60" s="277"/>
      <c r="CH60" s="277"/>
      <c r="CI60" s="277"/>
      <c r="CJ60" s="277"/>
      <c r="CK60" s="277"/>
      <c r="CL60" s="277"/>
      <c r="CM60" s="277"/>
      <c r="CN60" s="277"/>
      <c r="CO60" s="277"/>
      <c r="CP60" s="277"/>
      <c r="CQ60" s="277"/>
      <c r="CR60" s="277"/>
      <c r="CS60" s="277"/>
      <c r="CT60" s="277"/>
      <c r="CU60" s="277"/>
      <c r="CV60" s="277"/>
      <c r="CW60" s="277"/>
      <c r="CX60" s="277"/>
      <c r="CY60" s="277"/>
      <c r="CZ60" s="277"/>
      <c r="DA60" s="277"/>
      <c r="DB60" s="277"/>
      <c r="DC60" s="277"/>
      <c r="DD60" s="277"/>
      <c r="DE60" s="277"/>
      <c r="DF60" s="277"/>
      <c r="DG60" s="277"/>
      <c r="DH60" s="277"/>
      <c r="DI60" s="277"/>
      <c r="DJ60" s="277"/>
      <c r="DK60" s="277"/>
      <c r="DL60" s="277"/>
      <c r="DM60" s="277"/>
      <c r="DN60" s="277"/>
      <c r="DO60" s="277"/>
      <c r="DP60" s="277"/>
      <c r="DQ60" s="277"/>
      <c r="DR60" s="277"/>
      <c r="DS60" s="277"/>
      <c r="DT60" s="277"/>
      <c r="DU60" s="277"/>
      <c r="DV60" s="277"/>
      <c r="DW60" s="277"/>
      <c r="DX60" s="277"/>
      <c r="DY60" s="277"/>
      <c r="DZ60" s="277"/>
      <c r="EA60" s="277"/>
      <c r="EB60" s="277"/>
      <c r="EC60" s="277"/>
      <c r="ED60" s="277"/>
      <c r="EE60" s="277"/>
      <c r="EF60" s="277"/>
      <c r="EG60" s="277"/>
      <c r="EH60" s="277"/>
      <c r="EI60" s="277"/>
      <c r="EJ60" s="277"/>
      <c r="EK60" s="277"/>
      <c r="EL60" s="277"/>
      <c r="EM60" s="277"/>
    </row>
    <row r="61" spans="1:143" s="3" customFormat="1" ht="12.5" customHeight="1">
      <c r="A61" s="897" t="str">
        <f t="shared" si="52"/>
        <v>Weizen öko 9% RP Ø Hessen</v>
      </c>
      <c r="B61" s="298">
        <f>IF(D61=""," ",COUNTA($D$8:D61))</f>
        <v>54</v>
      </c>
      <c r="C61" s="327"/>
      <c r="D61" s="479" t="s">
        <v>556</v>
      </c>
      <c r="E61" s="617">
        <f t="shared" si="0"/>
        <v>9</v>
      </c>
      <c r="F61" s="319" t="s">
        <v>549</v>
      </c>
      <c r="G61" s="300" t="s">
        <v>550</v>
      </c>
      <c r="H61" s="275">
        <v>880</v>
      </c>
      <c r="I61" s="275">
        <v>85.6</v>
      </c>
      <c r="J61" s="275">
        <f>I61*0.9</f>
        <v>77.039999999999992</v>
      </c>
      <c r="K61" s="275">
        <v>26</v>
      </c>
      <c r="L61" s="381">
        <f t="shared" si="63"/>
        <v>13.539684240000001</v>
      </c>
      <c r="M61" s="322">
        <f t="shared" si="53"/>
        <v>13.609529679999998</v>
      </c>
      <c r="N61" s="311">
        <f>IF(I61=0," ",I61*0.0182+1.13)</f>
        <v>2.6879200000000001</v>
      </c>
      <c r="O61" s="302">
        <f t="shared" si="56"/>
        <v>2.3653696000000002</v>
      </c>
      <c r="P61" s="311">
        <f>IF(N61=" "," ",I61*0.0305+0.75)</f>
        <v>3.3607999999999998</v>
      </c>
      <c r="Q61" s="302">
        <f t="shared" si="54"/>
        <v>3.035922666666667</v>
      </c>
      <c r="R61" s="311">
        <f>IF(N61=" "," ",I61*0.0233+0.56)</f>
        <v>2.5544799999999999</v>
      </c>
      <c r="S61" s="302">
        <f t="shared" si="57"/>
        <v>2.299032</v>
      </c>
      <c r="T61" s="311">
        <f t="shared" si="64"/>
        <v>1.1557599999999999</v>
      </c>
      <c r="U61" s="302">
        <f t="shared" si="58"/>
        <v>1.0170687999999999</v>
      </c>
      <c r="V61" s="274">
        <v>0.7</v>
      </c>
      <c r="W61" s="274">
        <v>3.3</v>
      </c>
      <c r="X61" s="301">
        <f t="shared" si="55"/>
        <v>1.9799999999999998</v>
      </c>
      <c r="Y61" s="301">
        <f t="shared" si="65"/>
        <v>2.145</v>
      </c>
      <c r="Z61" s="274">
        <v>1.1000000000000001</v>
      </c>
      <c r="AA61" s="303">
        <v>0.2</v>
      </c>
      <c r="AB61" s="276">
        <v>3.8</v>
      </c>
      <c r="AC61" s="311">
        <f>IF($I61=""," ",$I61*0.0125+0.3)</f>
        <v>1.37</v>
      </c>
      <c r="AD61" s="311">
        <f t="shared" si="45"/>
        <v>1.2056</v>
      </c>
      <c r="AE61" s="321">
        <v>17.600000000000001</v>
      </c>
      <c r="AF61" s="321">
        <v>592.70000000000005</v>
      </c>
      <c r="AG61" s="321">
        <v>28.2</v>
      </c>
      <c r="AH61" s="321">
        <f t="shared" si="60"/>
        <v>16.72</v>
      </c>
      <c r="AI61" s="612">
        <f t="shared" si="66"/>
        <v>61.579200000000057</v>
      </c>
      <c r="AJ61" s="321">
        <f t="shared" si="59"/>
        <v>141.37999999999988</v>
      </c>
      <c r="AK61" s="610">
        <f t="shared" si="67"/>
        <v>10.912000000000001</v>
      </c>
      <c r="AL61" s="610">
        <f t="shared" si="68"/>
        <v>10.032</v>
      </c>
      <c r="AM61" s="610">
        <f t="shared" si="69"/>
        <v>0.88</v>
      </c>
      <c r="AN61" s="321"/>
      <c r="AO61" s="321"/>
      <c r="AP61" s="321"/>
      <c r="AQ61" s="612">
        <f t="shared" si="50"/>
        <v>-20.752799999999954</v>
      </c>
      <c r="AR61" s="847">
        <f t="shared" si="51"/>
        <v>281.55799999999999</v>
      </c>
      <c r="AS61" s="321">
        <f t="shared" si="70"/>
        <v>69.074399999999898</v>
      </c>
      <c r="AT61" s="612">
        <f t="shared" si="29"/>
        <v>734.07999999999993</v>
      </c>
      <c r="AU61" s="852">
        <v>0.89</v>
      </c>
      <c r="AV61" s="852">
        <v>0.9</v>
      </c>
      <c r="AW61" s="852">
        <v>0.5</v>
      </c>
      <c r="AX61" s="852">
        <v>0.28000000000000003</v>
      </c>
      <c r="AY61" s="852">
        <v>0.93</v>
      </c>
      <c r="AZ61" s="303">
        <f t="shared" si="71"/>
        <v>0.58080000000000009</v>
      </c>
      <c r="BA61" s="321">
        <f t="shared" si="72"/>
        <v>36.4</v>
      </c>
      <c r="BB61" s="321">
        <f t="shared" si="73"/>
        <v>169.52</v>
      </c>
      <c r="BC61" s="381">
        <f t="shared" si="4"/>
        <v>16.330656666399999</v>
      </c>
      <c r="BD61" s="277"/>
      <c r="BE61" s="277"/>
      <c r="BF61" s="277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77"/>
      <c r="CI61" s="277"/>
      <c r="CJ61" s="277"/>
      <c r="CK61" s="277"/>
      <c r="CL61" s="277"/>
      <c r="CM61" s="277"/>
      <c r="CN61" s="277"/>
      <c r="CO61" s="277"/>
      <c r="CP61" s="277"/>
      <c r="CQ61" s="277"/>
      <c r="CR61" s="277"/>
      <c r="CS61" s="277"/>
      <c r="CT61" s="277"/>
      <c r="CU61" s="277"/>
      <c r="CV61" s="277"/>
      <c r="CW61" s="277"/>
      <c r="CX61" s="277"/>
      <c r="CY61" s="277"/>
      <c r="CZ61" s="277"/>
      <c r="DA61" s="277"/>
      <c r="DB61" s="277"/>
      <c r="DC61" s="277"/>
      <c r="DD61" s="277"/>
      <c r="DE61" s="277"/>
      <c r="DF61" s="277"/>
      <c r="DG61" s="277"/>
      <c r="DH61" s="277"/>
      <c r="DI61" s="277"/>
      <c r="DJ61" s="277"/>
      <c r="DK61" s="277"/>
      <c r="DL61" s="277"/>
      <c r="DM61" s="277"/>
      <c r="DN61" s="277"/>
      <c r="DO61" s="277"/>
      <c r="DP61" s="277"/>
      <c r="DQ61" s="277"/>
      <c r="DR61" s="277"/>
      <c r="DS61" s="277"/>
      <c r="DT61" s="277"/>
      <c r="DU61" s="277"/>
      <c r="DV61" s="277"/>
      <c r="DW61" s="277"/>
      <c r="DX61" s="277"/>
      <c r="DY61" s="277"/>
      <c r="DZ61" s="277"/>
      <c r="EA61" s="277"/>
      <c r="EB61" s="277"/>
      <c r="EC61" s="277"/>
      <c r="ED61" s="277"/>
      <c r="EE61" s="277"/>
      <c r="EF61" s="277"/>
      <c r="EG61" s="277"/>
      <c r="EH61" s="277"/>
      <c r="EI61" s="277"/>
      <c r="EJ61" s="277"/>
      <c r="EK61" s="277"/>
      <c r="EL61" s="277"/>
      <c r="EM61" s="277"/>
    </row>
    <row r="62" spans="1:143" s="3" customFormat="1" ht="12.5" customHeight="1">
      <c r="A62" s="897"/>
      <c r="B62" s="298">
        <f>IF(D62=""," ",COUNTA($D$8:D62))</f>
        <v>55</v>
      </c>
      <c r="C62" s="327"/>
      <c r="D62" s="479" t="s">
        <v>976</v>
      </c>
      <c r="E62" s="617">
        <f t="shared" si="0"/>
        <v>14</v>
      </c>
      <c r="F62" s="319" t="s">
        <v>969</v>
      </c>
      <c r="G62" s="300"/>
      <c r="H62" s="275">
        <v>880</v>
      </c>
      <c r="I62" s="275">
        <v>138</v>
      </c>
      <c r="J62" s="275">
        <f>I62*0.9</f>
        <v>124.2</v>
      </c>
      <c r="K62" s="275">
        <v>25</v>
      </c>
      <c r="L62" s="381">
        <f t="shared" si="63"/>
        <v>13.808456</v>
      </c>
      <c r="M62" s="322">
        <f>IF(I62=""," ",$I62*0.021503+0.032497*$AE62+0.016309*$AF62+0.014701*$AJ62-0.021071*$K62)</f>
        <v>14.024602</v>
      </c>
      <c r="N62" s="311">
        <f>IF(I62=0," ",I62*0.0199+0.96)</f>
        <v>3.7061999999999999</v>
      </c>
      <c r="O62" s="302">
        <f t="shared" si="56"/>
        <v>3.2614559999999999</v>
      </c>
      <c r="P62" s="311">
        <f>IF(N62=" "," ",I62*0.0308+0.81)</f>
        <v>5.0603999999999996</v>
      </c>
      <c r="Q62" s="302">
        <f t="shared" si="54"/>
        <v>4.5712279999999996</v>
      </c>
      <c r="R62" s="311">
        <f>IF(N62=" "," ",I62*0.0247+0.45)</f>
        <v>3.8586</v>
      </c>
      <c r="S62" s="302">
        <f t="shared" si="57"/>
        <v>3.4727399999999999</v>
      </c>
      <c r="T62" s="311">
        <f>IF(N62=" "," ",I62*0.0085+0.44)</f>
        <v>1.613</v>
      </c>
      <c r="U62" s="302">
        <f t="shared" si="58"/>
        <v>1.41944</v>
      </c>
      <c r="V62" s="274">
        <v>0.4</v>
      </c>
      <c r="W62" s="274">
        <v>3.3</v>
      </c>
      <c r="X62" s="301">
        <f t="shared" si="55"/>
        <v>1.9799999999999998</v>
      </c>
      <c r="Y62" s="301">
        <f t="shared" si="65"/>
        <v>2.145</v>
      </c>
      <c r="Z62" s="274">
        <v>1.1000000000000001</v>
      </c>
      <c r="AA62" s="303">
        <v>0.1</v>
      </c>
      <c r="AB62" s="276">
        <v>4.0999999999999996</v>
      </c>
      <c r="AC62" s="311">
        <f>IF($I62=""," ",$I62*0.0125+0.3)</f>
        <v>2.0249999999999999</v>
      </c>
      <c r="AD62" s="311">
        <f t="shared" si="45"/>
        <v>1.782</v>
      </c>
      <c r="AE62" s="321">
        <v>21</v>
      </c>
      <c r="AF62" s="321">
        <v>581</v>
      </c>
      <c r="AG62" s="321">
        <v>28</v>
      </c>
      <c r="AH62" s="321">
        <v>18</v>
      </c>
      <c r="AI62" s="612">
        <f t="shared" si="66"/>
        <v>23.480000000000018</v>
      </c>
      <c r="AJ62" s="321">
        <f t="shared" si="59"/>
        <v>97</v>
      </c>
      <c r="AK62" s="610">
        <f t="shared" si="67"/>
        <v>13.020000000000001</v>
      </c>
      <c r="AL62" s="610">
        <f t="shared" si="68"/>
        <v>11.97</v>
      </c>
      <c r="AM62" s="610">
        <f t="shared" si="69"/>
        <v>1.05</v>
      </c>
      <c r="AN62" s="321"/>
      <c r="AO62" s="321"/>
      <c r="AP62" s="321"/>
      <c r="AQ62" s="612">
        <f t="shared" si="50"/>
        <v>-54.447599999999966</v>
      </c>
      <c r="AR62" s="847">
        <f t="shared" si="51"/>
        <v>406.51600000000002</v>
      </c>
      <c r="AS62" s="321">
        <f t="shared" si="70"/>
        <v>26.290000000000077</v>
      </c>
      <c r="AT62" s="612">
        <f t="shared" si="29"/>
        <v>678</v>
      </c>
      <c r="AU62" s="852">
        <v>0.89</v>
      </c>
      <c r="AV62" s="852">
        <v>0.9</v>
      </c>
      <c r="AW62" s="852">
        <v>0.5</v>
      </c>
      <c r="AX62" s="852">
        <v>0.19</v>
      </c>
      <c r="AY62" s="852">
        <v>0.93</v>
      </c>
      <c r="AZ62" s="303">
        <f t="shared" si="71"/>
        <v>0.58080000000000009</v>
      </c>
      <c r="BA62" s="321">
        <f t="shared" si="72"/>
        <v>35</v>
      </c>
      <c r="BB62" s="321">
        <f t="shared" si="73"/>
        <v>163</v>
      </c>
      <c r="BC62" s="381">
        <f t="shared" si="4"/>
        <v>15.218959459999995</v>
      </c>
      <c r="BD62" s="277"/>
      <c r="BE62" s="277"/>
      <c r="BF62" s="277"/>
      <c r="BG62" s="277"/>
      <c r="BH62" s="277"/>
      <c r="BI62" s="277"/>
      <c r="BJ62" s="277"/>
      <c r="BK62" s="277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277"/>
      <c r="BW62" s="277"/>
      <c r="BX62" s="277"/>
      <c r="BY62" s="277"/>
      <c r="BZ62" s="277"/>
      <c r="CA62" s="277"/>
      <c r="CB62" s="277"/>
      <c r="CC62" s="277"/>
      <c r="CD62" s="277"/>
      <c r="CE62" s="277"/>
      <c r="CF62" s="277"/>
      <c r="CG62" s="277"/>
      <c r="CH62" s="277"/>
      <c r="CI62" s="277"/>
      <c r="CJ62" s="277"/>
      <c r="CK62" s="277"/>
      <c r="CL62" s="277"/>
      <c r="CM62" s="277"/>
      <c r="CN62" s="277"/>
      <c r="CO62" s="277"/>
      <c r="CP62" s="277"/>
      <c r="CQ62" s="277"/>
      <c r="CR62" s="277"/>
      <c r="CS62" s="277"/>
      <c r="CT62" s="277"/>
      <c r="CU62" s="277"/>
      <c r="CV62" s="277"/>
      <c r="CW62" s="277"/>
      <c r="CX62" s="277"/>
      <c r="CY62" s="277"/>
      <c r="CZ62" s="277"/>
      <c r="DA62" s="277"/>
      <c r="DB62" s="277"/>
      <c r="DC62" s="277"/>
      <c r="DD62" s="277"/>
      <c r="DE62" s="277"/>
      <c r="DF62" s="277"/>
      <c r="DG62" s="277"/>
      <c r="DH62" s="277"/>
      <c r="DI62" s="277"/>
      <c r="DJ62" s="277"/>
      <c r="DK62" s="277"/>
      <c r="DL62" s="277"/>
      <c r="DM62" s="277"/>
      <c r="DN62" s="277"/>
      <c r="DO62" s="277"/>
      <c r="DP62" s="277"/>
      <c r="DQ62" s="277"/>
      <c r="DR62" s="277"/>
      <c r="DS62" s="277"/>
      <c r="DT62" s="277"/>
      <c r="DU62" s="277"/>
      <c r="DV62" s="277"/>
      <c r="DW62" s="277"/>
      <c r="DX62" s="277"/>
      <c r="DY62" s="277"/>
      <c r="DZ62" s="277"/>
      <c r="EA62" s="277"/>
      <c r="EB62" s="277"/>
      <c r="EC62" s="277"/>
      <c r="ED62" s="277"/>
      <c r="EE62" s="277"/>
      <c r="EF62" s="277"/>
      <c r="EG62" s="277"/>
      <c r="EH62" s="277"/>
      <c r="EI62" s="277"/>
      <c r="EJ62" s="277"/>
      <c r="EK62" s="277"/>
      <c r="EL62" s="277"/>
      <c r="EM62" s="277"/>
    </row>
    <row r="63" spans="1:143" s="4" customFormat="1" ht="12.5" customHeight="1">
      <c r="A63" s="897" t="str">
        <f t="shared" si="52"/>
        <v>Weizen, (Hart) durum 13% RP DLG 2014</v>
      </c>
      <c r="B63" s="298">
        <f>IF(D63=""," ",COUNTA($D$8:D63))</f>
        <v>56</v>
      </c>
      <c r="C63" s="327"/>
      <c r="D63" s="482" t="s">
        <v>623</v>
      </c>
      <c r="E63" s="617">
        <f t="shared" si="0"/>
        <v>13</v>
      </c>
      <c r="F63" s="319" t="s">
        <v>969</v>
      </c>
      <c r="G63" s="320"/>
      <c r="H63" s="321">
        <v>880</v>
      </c>
      <c r="I63" s="321">
        <v>133</v>
      </c>
      <c r="J63" s="275">
        <f>I63*0.95</f>
        <v>126.35</v>
      </c>
      <c r="K63" s="321">
        <v>26</v>
      </c>
      <c r="L63" s="381">
        <f t="shared" si="63"/>
        <v>14.254094239999997</v>
      </c>
      <c r="M63" s="322">
        <f t="shared" si="53"/>
        <v>13.904201760000001</v>
      </c>
      <c r="N63" s="1112">
        <f>IF(I63=0," ",(I63/H63*880*0.0442-2.37)/880*H63)</f>
        <v>3.5086000000000004</v>
      </c>
      <c r="O63" s="301">
        <f>IF(N63=" "," ",N63*0.88)</f>
        <v>3.0875680000000005</v>
      </c>
      <c r="P63" s="311">
        <f>IF(N63=" "," ",(I63/H63*880*0.034+0.44)/880*H63)</f>
        <v>4.9620000000000006</v>
      </c>
      <c r="Q63" s="302">
        <f t="shared" si="54"/>
        <v>4.4823400000000015</v>
      </c>
      <c r="R63" s="311">
        <f>IF(N63=" "," ",I63*0.038-1.31)</f>
        <v>3.7440000000000002</v>
      </c>
      <c r="S63" s="301">
        <f>IF(N63=" "," ",R63*0.9)</f>
        <v>3.3696000000000002</v>
      </c>
      <c r="T63" s="311">
        <f t="shared" si="64"/>
        <v>1.7292999999999998</v>
      </c>
      <c r="U63" s="301">
        <f>IF(N63=" "," ",T63*0.88)</f>
        <v>1.5217839999999998</v>
      </c>
      <c r="V63" s="274">
        <f>0.4*H25/1000</f>
        <v>0.35199999999999998</v>
      </c>
      <c r="W63" s="311">
        <f>4.2*H63/1000</f>
        <v>3.6960000000000002</v>
      </c>
      <c r="X63" s="301">
        <f t="shared" si="55"/>
        <v>2.2176</v>
      </c>
      <c r="Y63" s="301">
        <f t="shared" si="65"/>
        <v>2.4024000000000001</v>
      </c>
      <c r="Z63" s="311">
        <f>1.2*H63/1000</f>
        <v>1.056</v>
      </c>
      <c r="AA63" s="303">
        <f>0.1*H63/1000</f>
        <v>8.7999999999999995E-2</v>
      </c>
      <c r="AB63" s="323">
        <f>5*H63/1000</f>
        <v>4.4000000000000004</v>
      </c>
      <c r="AC63" s="1112">
        <f>IF($I63=""," ",($I63/H63*880*0.0164+0.07)/880*H63)</f>
        <v>2.2511999999999999</v>
      </c>
      <c r="AD63" s="311">
        <f>AC63*0.88</f>
        <v>1.9810559999999999</v>
      </c>
      <c r="AE63" s="321">
        <v>21</v>
      </c>
      <c r="AF63" s="321">
        <v>570</v>
      </c>
      <c r="AG63" s="321">
        <v>33</v>
      </c>
      <c r="AH63" s="321">
        <f>23*0.88</f>
        <v>20.239999999999998</v>
      </c>
      <c r="AI63" s="612">
        <f t="shared" si="66"/>
        <v>46.929199999999923</v>
      </c>
      <c r="AJ63" s="321">
        <f t="shared" si="59"/>
        <v>109.75999999999999</v>
      </c>
      <c r="AK63" s="610">
        <f t="shared" si="67"/>
        <v>13.020000000000001</v>
      </c>
      <c r="AL63" s="610">
        <f t="shared" si="68"/>
        <v>11.97</v>
      </c>
      <c r="AM63" s="610">
        <f t="shared" si="69"/>
        <v>1.05</v>
      </c>
      <c r="AN63" s="321"/>
      <c r="AO63" s="321"/>
      <c r="AP63" s="321"/>
      <c r="AQ63" s="612">
        <f t="shared" si="50"/>
        <v>-75.312399999999997</v>
      </c>
      <c r="AR63" s="847">
        <f t="shared" si="51"/>
        <v>390.91088000000002</v>
      </c>
      <c r="AS63" s="321">
        <f t="shared" si="70"/>
        <v>46.81919999999991</v>
      </c>
      <c r="AT63" s="612">
        <f t="shared" si="29"/>
        <v>679.76</v>
      </c>
      <c r="AU63" s="852">
        <v>0.92</v>
      </c>
      <c r="AV63" s="852">
        <v>0.95</v>
      </c>
      <c r="AW63" s="852">
        <v>0.7</v>
      </c>
      <c r="AX63" s="852">
        <v>0.94</v>
      </c>
      <c r="AY63" s="852">
        <v>0.92</v>
      </c>
      <c r="AZ63" s="303">
        <f t="shared" si="71"/>
        <v>0.58080000000000009</v>
      </c>
      <c r="BA63" s="321">
        <f t="shared" si="72"/>
        <v>36.4</v>
      </c>
      <c r="BB63" s="321">
        <f t="shared" si="73"/>
        <v>169.52</v>
      </c>
      <c r="BC63" s="381">
        <f t="shared" si="4"/>
        <v>15.0650672848</v>
      </c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</row>
    <row r="64" spans="1:143" s="3" customFormat="1" ht="12.5" customHeight="1">
      <c r="A64" s="897" t="str">
        <f t="shared" si="52"/>
        <v xml:space="preserve">eigener Weizen, (Hart)  </v>
      </c>
      <c r="B64" s="298">
        <f>IF(D64=""," ",COUNTA($D$8:D64))</f>
        <v>57</v>
      </c>
      <c r="C64" s="327"/>
      <c r="D64" s="480" t="s">
        <v>624</v>
      </c>
      <c r="E64" s="619" t="str">
        <f t="shared" si="0"/>
        <v xml:space="preserve"> </v>
      </c>
      <c r="F64" s="306" t="str">
        <f>IF(I64=112,"Ø 2007","")</f>
        <v/>
      </c>
      <c r="G64" s="305"/>
      <c r="H64" s="91"/>
      <c r="I64" s="91"/>
      <c r="J64" s="306" t="str">
        <f>IF(I64=0," ",I64*0.95)</f>
        <v xml:space="preserve"> </v>
      </c>
      <c r="K64" s="91"/>
      <c r="L64" s="988" t="str">
        <f>IF($I64=""," ",I64*0.0205*AV64+0.0398*AW64*AE64+0.0173*AF64+0.016*$AG64+0.0147*AI64)</f>
        <v xml:space="preserve"> </v>
      </c>
      <c r="M64" s="988" t="str">
        <f t="shared" si="53"/>
        <v xml:space="preserve"> </v>
      </c>
      <c r="N64" s="307" t="str">
        <f>IF(I64=0," ",(I64/H64*880*0.0442-2.37)/880*H64)</f>
        <v xml:space="preserve"> </v>
      </c>
      <c r="O64" s="308" t="str">
        <f>IF(N64=" "," ",N64*0.88)</f>
        <v xml:space="preserve"> </v>
      </c>
      <c r="P64" s="307" t="str">
        <f>IF(N64=" "," ",(I64/H64*880*0.034+0.44)/880*H64)</f>
        <v xml:space="preserve"> </v>
      </c>
      <c r="Q64" s="308" t="str">
        <f>IF(N64=" "," ",P64*0.89)</f>
        <v xml:space="preserve"> </v>
      </c>
      <c r="R64" s="307" t="str">
        <f>IF(N64=" "," ",(I64/H64*880*0.038-1.31)/880*H64)</f>
        <v xml:space="preserve"> </v>
      </c>
      <c r="S64" s="308" t="str">
        <f>IF(N64=" "," ",R64*0.9)</f>
        <v xml:space="preserve"> </v>
      </c>
      <c r="T64" s="307" t="str">
        <f>IF(N64=" "," ",(I64/H64*880*0.0121+0.12)/880*H64)</f>
        <v xml:space="preserve"> </v>
      </c>
      <c r="U64" s="308" t="str">
        <f>IF(N64=" "," ",T64*0.88)</f>
        <v xml:space="preserve"> </v>
      </c>
      <c r="V64" s="307" t="str">
        <f t="shared" ref="V64:AB64" si="74">IF($I64=0," ",V$53*$H64/$H$53)</f>
        <v xml:space="preserve"> </v>
      </c>
      <c r="W64" s="307" t="str">
        <f t="shared" si="74"/>
        <v xml:space="preserve"> </v>
      </c>
      <c r="X64" s="308" t="str">
        <f t="shared" si="74"/>
        <v xml:space="preserve"> </v>
      </c>
      <c r="Y64" s="307" t="str">
        <f t="shared" si="74"/>
        <v xml:space="preserve"> </v>
      </c>
      <c r="Z64" s="307" t="str">
        <f t="shared" si="74"/>
        <v xml:space="preserve"> </v>
      </c>
      <c r="AA64" s="309" t="str">
        <f t="shared" si="74"/>
        <v xml:space="preserve"> </v>
      </c>
      <c r="AB64" s="310" t="str">
        <f t="shared" si="74"/>
        <v xml:space="preserve"> </v>
      </c>
      <c r="AC64" s="307" t="str">
        <f>IF($I64=""," ",($I64/H64*880*0.0164+0.07)/880*H64)</f>
        <v xml:space="preserve"> </v>
      </c>
      <c r="AD64" s="307" t="str">
        <f>IF($N64=" "," ",AC64*0.88)</f>
        <v xml:space="preserve"> </v>
      </c>
      <c r="AE64" s="92"/>
      <c r="AF64" s="92"/>
      <c r="AG64" s="92"/>
      <c r="AH64" s="92"/>
      <c r="AI64" s="306" t="str">
        <f>IF($I64=""," ",(H64-AH64)*AU64-I64*AV64-AE64*AW64-AF64-AG64)</f>
        <v xml:space="preserve"> </v>
      </c>
      <c r="AJ64" s="306" t="str">
        <f t="shared" si="59"/>
        <v xml:space="preserve"> </v>
      </c>
      <c r="AK64" s="307" t="str">
        <f t="shared" ref="AK64:AP64" si="75">IF($I64=0," ",AK63*$H64/$H63)</f>
        <v xml:space="preserve"> </v>
      </c>
      <c r="AL64" s="307" t="str">
        <f t="shared" si="75"/>
        <v xml:space="preserve"> </v>
      </c>
      <c r="AM64" s="307" t="str">
        <f t="shared" si="75"/>
        <v xml:space="preserve"> </v>
      </c>
      <c r="AN64" s="306" t="str">
        <f t="shared" si="75"/>
        <v xml:space="preserve"> </v>
      </c>
      <c r="AO64" s="306" t="str">
        <f t="shared" si="75"/>
        <v xml:space="preserve"> </v>
      </c>
      <c r="AP64" s="306" t="str">
        <f t="shared" si="75"/>
        <v xml:space="preserve"> </v>
      </c>
      <c r="AQ64" s="306" t="str">
        <f t="shared" si="50"/>
        <v/>
      </c>
      <c r="AR64" s="306" t="str">
        <f t="shared" si="51"/>
        <v/>
      </c>
      <c r="AS64" s="306" t="str">
        <f>IF($I64=0," ",AX64*K64+AY64*AT64-AF64-AG64)</f>
        <v xml:space="preserve"> </v>
      </c>
      <c r="AT64" s="92" t="str">
        <f t="shared" si="29"/>
        <v xml:space="preserve"> </v>
      </c>
      <c r="AU64" s="853" t="str">
        <f>IF($I64=0," ",AU63)</f>
        <v xml:space="preserve"> </v>
      </c>
      <c r="AV64" s="853" t="str">
        <f>IF($I64=0," ",AV63)</f>
        <v xml:space="preserve"> </v>
      </c>
      <c r="AW64" s="853" t="str">
        <f>IF($I64=0," ",AW63)</f>
        <v xml:space="preserve"> </v>
      </c>
      <c r="AX64" s="853" t="str">
        <f>IF($I64=0," ",AX63)</f>
        <v xml:space="preserve"> </v>
      </c>
      <c r="AY64" s="853" t="str">
        <f>IF($I64=0," ",AY63)</f>
        <v xml:space="preserve"> </v>
      </c>
      <c r="AZ64" s="309" t="str">
        <f>IF($I64=0," ",AZ$53*$H64/$H$53)</f>
        <v xml:space="preserve"> </v>
      </c>
      <c r="BA64" s="92" t="str">
        <f>IF($I64=0," ",BA63*$H64/$H63*K64/K63)</f>
        <v xml:space="preserve"> </v>
      </c>
      <c r="BB64" s="92" t="str">
        <f>IF($I64=0," ",BB63*$H64/$H63*K64/K63)</f>
        <v xml:space="preserve"> </v>
      </c>
      <c r="BC64" s="988" t="str">
        <f t="shared" si="4"/>
        <v/>
      </c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277"/>
      <c r="BW64" s="277"/>
      <c r="BX64" s="277"/>
      <c r="BY64" s="277"/>
      <c r="BZ64" s="277"/>
      <c r="CA64" s="277"/>
      <c r="CB64" s="277"/>
      <c r="CC64" s="277"/>
      <c r="CD64" s="277"/>
      <c r="CE64" s="277"/>
      <c r="CF64" s="277"/>
      <c r="CG64" s="277"/>
      <c r="CH64" s="277"/>
      <c r="CI64" s="277"/>
      <c r="CJ64" s="277"/>
      <c r="CK64" s="277"/>
      <c r="CL64" s="277"/>
      <c r="CM64" s="277"/>
      <c r="CN64" s="277"/>
      <c r="CO64" s="277"/>
      <c r="CP64" s="277"/>
      <c r="CQ64" s="277"/>
      <c r="CR64" s="277"/>
      <c r="CS64" s="277"/>
      <c r="CT64" s="277"/>
      <c r="CU64" s="277"/>
      <c r="CV64" s="277"/>
      <c r="CW64" s="277"/>
      <c r="CX64" s="277"/>
      <c r="CY64" s="277"/>
      <c r="CZ64" s="277"/>
      <c r="DA64" s="277"/>
      <c r="DB64" s="277"/>
      <c r="DC64" s="277"/>
      <c r="DD64" s="277"/>
      <c r="DE64" s="277"/>
      <c r="DF64" s="277"/>
      <c r="DG64" s="277"/>
      <c r="DH64" s="277"/>
      <c r="DI64" s="277"/>
      <c r="DJ64" s="277"/>
      <c r="DK64" s="277"/>
      <c r="DL64" s="277"/>
      <c r="DM64" s="277"/>
      <c r="DN64" s="277"/>
      <c r="DO64" s="277"/>
      <c r="DP64" s="277"/>
      <c r="DQ64" s="277"/>
      <c r="DR64" s="277"/>
      <c r="DS64" s="277"/>
      <c r="DT64" s="277"/>
      <c r="DU64" s="277"/>
      <c r="DV64" s="277"/>
      <c r="DW64" s="277"/>
      <c r="DX64" s="277"/>
      <c r="DY64" s="277"/>
      <c r="DZ64" s="277"/>
      <c r="EA64" s="277"/>
      <c r="EB64" s="277"/>
      <c r="EC64" s="277"/>
      <c r="ED64" s="277"/>
      <c r="EE64" s="277"/>
      <c r="EF64" s="277"/>
      <c r="EG64" s="277"/>
      <c r="EH64" s="277"/>
      <c r="EI64" s="277"/>
      <c r="EJ64" s="277"/>
      <c r="EK64" s="277"/>
      <c r="EL64" s="277"/>
      <c r="EM64" s="277"/>
    </row>
    <row r="65" spans="1:143" s="3" customFormat="1" ht="12.5" customHeight="1">
      <c r="A65" s="897" t="str">
        <f t="shared" si="52"/>
        <v>Altbrot (Brotmehl, getrocknet) 12% RP DLG 2014</v>
      </c>
      <c r="B65" s="298">
        <f>IF(D65=""," ",COUNTA($D$8:D65))</f>
        <v>58</v>
      </c>
      <c r="C65" s="327"/>
      <c r="D65" s="482" t="s">
        <v>983</v>
      </c>
      <c r="E65" s="620">
        <f t="shared" si="0"/>
        <v>12</v>
      </c>
      <c r="F65" s="319" t="s">
        <v>969</v>
      </c>
      <c r="G65" s="320"/>
      <c r="H65" s="321">
        <v>800</v>
      </c>
      <c r="I65" s="321">
        <v>120</v>
      </c>
      <c r="J65" s="321">
        <f>IF(I65=0," ",I65*0.93)</f>
        <v>111.60000000000001</v>
      </c>
      <c r="K65" s="321">
        <v>12</v>
      </c>
      <c r="L65" s="381">
        <f>M65</f>
        <v>13.063631999999998</v>
      </c>
      <c r="M65" s="322">
        <f t="shared" si="53"/>
        <v>13.063631999999998</v>
      </c>
      <c r="N65" s="311">
        <f>IF(I65=0," ",(I65/H65*880*0.0314-0.52)/880*H65)</f>
        <v>3.2952727272727271</v>
      </c>
      <c r="O65" s="302">
        <f>IF(N65=" "," ",N65*0.92)</f>
        <v>3.0316509090909092</v>
      </c>
      <c r="P65" s="311">
        <f>IF(N65=" "," ",(I65/H65*880*0.0336+0.11)/880*H65)</f>
        <v>4.1320000000000006</v>
      </c>
      <c r="Q65" s="302">
        <f>IF(N65=" "," ",P65*(1.4*0.93+2*0.88)/3.4)</f>
        <v>3.7212305882352954</v>
      </c>
      <c r="R65" s="311">
        <f>IF(N65=" "," ",(I65/H65*880*0.0324-0.23)/880*H65)</f>
        <v>3.6789090909090905</v>
      </c>
      <c r="S65" s="302">
        <f>IF(N65=" "," ",R65*0.92)</f>
        <v>3.3845963636363634</v>
      </c>
      <c r="T65" s="311">
        <f>IF(N65=" "," ",(I65/H65*880*0.0116-0)/880*H65)</f>
        <v>1.3919999999999999</v>
      </c>
      <c r="U65" s="302">
        <f>IF(N65=" "," ",T65*0.91)</f>
        <v>1.2667199999999998</v>
      </c>
      <c r="V65" s="274">
        <v>0.4</v>
      </c>
      <c r="W65" s="311">
        <v>1</v>
      </c>
      <c r="X65" s="302">
        <f>W65*0.5</f>
        <v>0.5</v>
      </c>
      <c r="Y65" s="301">
        <f t="shared" si="65"/>
        <v>0.65</v>
      </c>
      <c r="Z65" s="311">
        <v>0.4</v>
      </c>
      <c r="AA65" s="322">
        <v>3.2</v>
      </c>
      <c r="AB65" s="323">
        <f>IF($I65=0," ",AB$53*$H65/$H$53)</f>
        <v>3.4545454545454546</v>
      </c>
      <c r="AC65" s="311">
        <f>IF($I65=""," ",$I65*0.0151-0.05)</f>
        <v>1.762</v>
      </c>
      <c r="AD65" s="311">
        <f>AC65*0.93</f>
        <v>1.63866</v>
      </c>
      <c r="AE65" s="321">
        <v>21</v>
      </c>
      <c r="AF65" s="321">
        <v>520</v>
      </c>
      <c r="AG65" s="321">
        <v>16</v>
      </c>
      <c r="AH65" s="321">
        <v>20</v>
      </c>
      <c r="AI65" s="612">
        <f>(H65-AH65)*AU65-I65*AV65-AE65*AW65-AF65-AG65</f>
        <v>73.87</v>
      </c>
      <c r="AJ65" s="321">
        <f t="shared" si="59"/>
        <v>107</v>
      </c>
      <c r="AK65" s="610">
        <f t="shared" si="67"/>
        <v>13.334999999999999</v>
      </c>
      <c r="AL65" s="610">
        <f>57.5*AE65/100</f>
        <v>12.074999999999999</v>
      </c>
      <c r="AM65" s="610">
        <f>6*AE65/100</f>
        <v>1.26</v>
      </c>
      <c r="AN65" s="321"/>
      <c r="AO65" s="321"/>
      <c r="AP65" s="321"/>
      <c r="AQ65" s="612">
        <f t="shared" si="50"/>
        <v>156.31818181818181</v>
      </c>
      <c r="AR65" s="847">
        <f t="shared" si="51"/>
        <v>327.49599999999998</v>
      </c>
      <c r="AS65" s="321">
        <f>AX65*K65+AY65*AT65-AF65-AG65</f>
        <v>50.710000000000036</v>
      </c>
      <c r="AT65" s="321">
        <f t="shared" si="29"/>
        <v>627</v>
      </c>
      <c r="AU65" s="852">
        <v>0.95</v>
      </c>
      <c r="AV65" s="852">
        <v>0.93</v>
      </c>
      <c r="AW65" s="852">
        <v>0.93</v>
      </c>
      <c r="AX65" s="852">
        <v>0.3</v>
      </c>
      <c r="AY65" s="852">
        <v>0.93</v>
      </c>
      <c r="AZ65" s="303">
        <f t="shared" si="71"/>
        <v>0.52800000000000002</v>
      </c>
      <c r="BA65" s="321">
        <f>33*H65/1000*K65/$K$53</f>
        <v>12.671999999999999</v>
      </c>
      <c r="BB65" s="321">
        <f>127*H65/1000*K65/$K$53</f>
        <v>48.767999999999994</v>
      </c>
      <c r="BC65" s="381">
        <f t="shared" si="4"/>
        <v>14.639451359999999</v>
      </c>
      <c r="BD65" s="277"/>
      <c r="BE65" s="277"/>
      <c r="BF65" s="277"/>
      <c r="BG65" s="277"/>
      <c r="BH65" s="277"/>
      <c r="BI65" s="277"/>
      <c r="BJ65" s="277"/>
      <c r="BK65" s="277"/>
      <c r="BL65" s="277"/>
      <c r="BM65" s="277"/>
      <c r="BN65" s="277"/>
      <c r="BO65" s="277"/>
      <c r="BP65" s="277"/>
      <c r="BQ65" s="277"/>
      <c r="BR65" s="277"/>
      <c r="BS65" s="277"/>
      <c r="BT65" s="277"/>
      <c r="BU65" s="277"/>
      <c r="BV65" s="277"/>
      <c r="BW65" s="277"/>
      <c r="BX65" s="277"/>
      <c r="BY65" s="277"/>
      <c r="BZ65" s="277"/>
      <c r="CA65" s="277"/>
      <c r="CB65" s="277"/>
      <c r="CC65" s="277"/>
      <c r="CD65" s="277"/>
      <c r="CE65" s="277"/>
      <c r="CF65" s="277"/>
      <c r="CG65" s="277"/>
      <c r="CH65" s="277"/>
      <c r="CI65" s="277"/>
      <c r="CJ65" s="277"/>
      <c r="CK65" s="277"/>
      <c r="CL65" s="277"/>
      <c r="CM65" s="277"/>
      <c r="CN65" s="277"/>
      <c r="CO65" s="277"/>
      <c r="CP65" s="277"/>
      <c r="CQ65" s="277"/>
      <c r="CR65" s="277"/>
      <c r="CS65" s="277"/>
      <c r="CT65" s="277"/>
      <c r="CU65" s="277"/>
      <c r="CV65" s="277"/>
      <c r="CW65" s="277"/>
      <c r="CX65" s="277"/>
      <c r="CY65" s="277"/>
      <c r="CZ65" s="277"/>
      <c r="DA65" s="277"/>
      <c r="DB65" s="277"/>
      <c r="DC65" s="277"/>
      <c r="DD65" s="277"/>
      <c r="DE65" s="277"/>
      <c r="DF65" s="277"/>
      <c r="DG65" s="277"/>
      <c r="DH65" s="277"/>
      <c r="DI65" s="277"/>
      <c r="DJ65" s="277"/>
      <c r="DK65" s="277"/>
      <c r="DL65" s="277"/>
      <c r="DM65" s="277"/>
      <c r="DN65" s="277"/>
      <c r="DO65" s="277"/>
      <c r="DP65" s="277"/>
      <c r="DQ65" s="277"/>
      <c r="DR65" s="277"/>
      <c r="DS65" s="277"/>
      <c r="DT65" s="277"/>
      <c r="DU65" s="277"/>
      <c r="DV65" s="277"/>
      <c r="DW65" s="277"/>
      <c r="DX65" s="277"/>
      <c r="DY65" s="277"/>
      <c r="DZ65" s="277"/>
      <c r="EA65" s="277"/>
      <c r="EB65" s="277"/>
      <c r="EC65" s="277"/>
      <c r="ED65" s="277"/>
      <c r="EE65" s="277"/>
      <c r="EF65" s="277"/>
      <c r="EG65" s="277"/>
      <c r="EH65" s="277"/>
      <c r="EI65" s="277"/>
      <c r="EJ65" s="277"/>
      <c r="EK65" s="277"/>
      <c r="EL65" s="277"/>
      <c r="EM65" s="277"/>
    </row>
    <row r="66" spans="1:143" s="3" customFormat="1" ht="12.5" customHeight="1">
      <c r="A66" s="897" t="str">
        <f t="shared" si="52"/>
        <v xml:space="preserve">eigene Altbrotabfälle </v>
      </c>
      <c r="B66" s="298">
        <f>IF(D66=""," ",COUNTA($D$8:D66))</f>
        <v>59</v>
      </c>
      <c r="C66" s="327"/>
      <c r="D66" s="480" t="s">
        <v>985</v>
      </c>
      <c r="E66" s="619" t="str">
        <f t="shared" si="0"/>
        <v xml:space="preserve"> </v>
      </c>
      <c r="F66" s="306"/>
      <c r="G66" s="305"/>
      <c r="H66" s="91"/>
      <c r="I66" s="91"/>
      <c r="J66" s="306" t="str">
        <f>IF(I66=0," ",I66*0.9)</f>
        <v xml:space="preserve"> </v>
      </c>
      <c r="K66" s="91"/>
      <c r="L66" s="988" t="str">
        <f>IF($I66=""," ",I66*0.0205*AV66+0.0398*AW66*AE66+0.0173*AF66+0.016*$AG66+0.0147*AI66)</f>
        <v xml:space="preserve"> </v>
      </c>
      <c r="M66" s="988" t="str">
        <f t="shared" si="53"/>
        <v xml:space="preserve"> </v>
      </c>
      <c r="N66" s="307" t="str">
        <f>IF(I66=0," ",(I66/H66*880*0.0314-0.52)/880*H66)</f>
        <v xml:space="preserve"> </v>
      </c>
      <c r="O66" s="308" t="str">
        <f>IF(N66=" "," ",N66*0.92)</f>
        <v xml:space="preserve"> </v>
      </c>
      <c r="P66" s="307" t="str">
        <f>IF(N66=" "," ",(I66/H66*880*0.0336+0.11)/880*H66)</f>
        <v xml:space="preserve"> </v>
      </c>
      <c r="Q66" s="308" t="str">
        <f>IF(N66=" "," ",P66*(1.4*0.93+2*0.88)/3.4)</f>
        <v xml:space="preserve"> </v>
      </c>
      <c r="R66" s="307" t="str">
        <f>IF(N66=" "," ",(I66/H66*880*0.0324-0.23)/880*H66)</f>
        <v xml:space="preserve"> </v>
      </c>
      <c r="S66" s="308" t="str">
        <f>IF(N66=" "," ",R66*0.92)</f>
        <v xml:space="preserve"> </v>
      </c>
      <c r="T66" s="307" t="str">
        <f>IF(N66=" "," ",(I66/H66*880*0.0116-0)/880*H66)</f>
        <v xml:space="preserve"> </v>
      </c>
      <c r="U66" s="308" t="str">
        <f>IF(N66=" "," ",T66*0.91)</f>
        <v xml:space="preserve"> </v>
      </c>
      <c r="V66" s="307" t="str">
        <f>IF($I66=0," ",V65/$H65*$H66)</f>
        <v xml:space="preserve"> </v>
      </c>
      <c r="W66" s="307" t="str">
        <f>IF($I66=0," ",W65/$H65*$H66)</f>
        <v xml:space="preserve"> </v>
      </c>
      <c r="X66" s="308" t="str">
        <f>IF($I66=0," ",X65/$H65*$H66)</f>
        <v xml:space="preserve"> </v>
      </c>
      <c r="Y66" s="308" t="str">
        <f>IF($I66=0," ",Y65/$H65*$H66)</f>
        <v xml:space="preserve"> </v>
      </c>
      <c r="Z66" s="307" t="str">
        <f>IF($I66=0," ",Z65/$H65*$H66)</f>
        <v xml:space="preserve"> </v>
      </c>
      <c r="AA66" s="309" t="str">
        <f>IF($I66=0," ",AA$65*$H66/$H$65)</f>
        <v xml:space="preserve"> </v>
      </c>
      <c r="AB66" s="310" t="str">
        <f>IF($I66=0," ",AB$53*$H66/$H$53)</f>
        <v xml:space="preserve"> </v>
      </c>
      <c r="AC66" s="307" t="str">
        <f>IF($I66=""," ",($I66/H66*880*0.0151-0.05)/880*H66)</f>
        <v xml:space="preserve"> </v>
      </c>
      <c r="AD66" s="307" t="str">
        <f>IF($N66=" "," ",AC66*0.93)</f>
        <v xml:space="preserve"> </v>
      </c>
      <c r="AE66" s="92"/>
      <c r="AF66" s="92"/>
      <c r="AG66" s="92"/>
      <c r="AH66" s="92"/>
      <c r="AI66" s="306" t="str">
        <f>IF($I66=""," ",(H66-AH66)*AU66-I66*AV66-AE66*AW66-AF66-AG66)</f>
        <v xml:space="preserve"> </v>
      </c>
      <c r="AJ66" s="306" t="str">
        <f t="shared" si="59"/>
        <v xml:space="preserve"> </v>
      </c>
      <c r="AK66" s="307" t="str">
        <f t="shared" ref="AK66:AP66" si="76">IF($I66=0," ",AK65*$H66/$H65)</f>
        <v xml:space="preserve"> </v>
      </c>
      <c r="AL66" s="307" t="str">
        <f t="shared" si="76"/>
        <v xml:space="preserve"> </v>
      </c>
      <c r="AM66" s="307" t="str">
        <f t="shared" si="76"/>
        <v xml:space="preserve"> </v>
      </c>
      <c r="AN66" s="306" t="str">
        <f t="shared" si="76"/>
        <v xml:space="preserve"> </v>
      </c>
      <c r="AO66" s="306" t="str">
        <f t="shared" si="76"/>
        <v xml:space="preserve"> </v>
      </c>
      <c r="AP66" s="306" t="str">
        <f t="shared" si="76"/>
        <v xml:space="preserve"> </v>
      </c>
      <c r="AQ66" s="306" t="str">
        <f t="shared" si="50"/>
        <v/>
      </c>
      <c r="AR66" s="306" t="str">
        <f t="shared" si="51"/>
        <v/>
      </c>
      <c r="AS66" s="306" t="str">
        <f>IF($I66=0," ",AX66*K66+AY66*AT66-AF66-AG66)</f>
        <v xml:space="preserve"> </v>
      </c>
      <c r="AT66" s="92" t="str">
        <f t="shared" si="29"/>
        <v xml:space="preserve"> </v>
      </c>
      <c r="AU66" s="853" t="str">
        <f>IF($I66=0," ",AU65)</f>
        <v xml:space="preserve"> </v>
      </c>
      <c r="AV66" s="853" t="str">
        <f>IF($I66=0," ",AV65)</f>
        <v xml:space="preserve"> </v>
      </c>
      <c r="AW66" s="853" t="str">
        <f>IF($I66=0," ",AW65)</f>
        <v xml:space="preserve"> </v>
      </c>
      <c r="AX66" s="853" t="str">
        <f>IF($I66=0," ",AX65)</f>
        <v xml:space="preserve"> </v>
      </c>
      <c r="AY66" s="853" t="str">
        <f>IF($I66=0," ",AY65)</f>
        <v xml:space="preserve"> </v>
      </c>
      <c r="AZ66" s="309" t="str">
        <f>IF($I66=0," ",AZ$65*$H66/$H$65)</f>
        <v xml:space="preserve"> </v>
      </c>
      <c r="BA66" s="92" t="str">
        <f>IF($I66=0," ",BA65*$H66/$H65*K66/K65)</f>
        <v xml:space="preserve"> </v>
      </c>
      <c r="BB66" s="92" t="str">
        <f>IF($I66=0," ",BB65*$H66/$H65*K66/K65)</f>
        <v xml:space="preserve"> </v>
      </c>
      <c r="BC66" s="988" t="str">
        <f t="shared" si="4"/>
        <v/>
      </c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7"/>
      <c r="CM66" s="277"/>
      <c r="CN66" s="277"/>
      <c r="CO66" s="277"/>
      <c r="CP66" s="277"/>
      <c r="CQ66" s="277"/>
      <c r="CR66" s="277"/>
      <c r="CS66" s="277"/>
      <c r="CT66" s="277"/>
      <c r="CU66" s="277"/>
      <c r="CV66" s="277"/>
      <c r="CW66" s="277"/>
      <c r="CX66" s="277"/>
      <c r="CY66" s="277"/>
      <c r="CZ66" s="277"/>
      <c r="DA66" s="277"/>
      <c r="DB66" s="277"/>
      <c r="DC66" s="277"/>
      <c r="DD66" s="277"/>
      <c r="DE66" s="277"/>
      <c r="DF66" s="277"/>
      <c r="DG66" s="277"/>
      <c r="DH66" s="277"/>
      <c r="DI66" s="277"/>
      <c r="DJ66" s="277"/>
      <c r="DK66" s="277"/>
      <c r="DL66" s="277"/>
      <c r="DM66" s="277"/>
      <c r="DN66" s="277"/>
      <c r="DO66" s="277"/>
      <c r="DP66" s="277"/>
      <c r="DQ66" s="277"/>
      <c r="DR66" s="277"/>
      <c r="DS66" s="277"/>
      <c r="DT66" s="277"/>
      <c r="DU66" s="277"/>
      <c r="DV66" s="277"/>
      <c r="DW66" s="277"/>
      <c r="DX66" s="277"/>
      <c r="DY66" s="277"/>
      <c r="DZ66" s="277"/>
      <c r="EA66" s="277"/>
      <c r="EB66" s="277"/>
      <c r="EC66" s="277"/>
      <c r="ED66" s="277"/>
      <c r="EE66" s="277"/>
      <c r="EF66" s="277"/>
      <c r="EG66" s="277"/>
      <c r="EH66" s="277"/>
      <c r="EI66" s="277"/>
      <c r="EJ66" s="277"/>
      <c r="EK66" s="277"/>
      <c r="EL66" s="277"/>
      <c r="EM66" s="277"/>
    </row>
    <row r="67" spans="1:143" s="3" customFormat="1" ht="12.5" customHeight="1">
      <c r="A67" s="897" t="str">
        <f>IF(E67=" ",D67&amp;" "&amp;F67,D67&amp;" "&amp;E67&amp;"% RP "&amp;F67)</f>
        <v>Altgebäck (Gebäckmehl, getrocknet) 5% RP DLG 2014</v>
      </c>
      <c r="B67" s="298">
        <f>IF(D67=""," ",COUNTA($D$8:D67))</f>
        <v>60</v>
      </c>
      <c r="C67" s="327"/>
      <c r="D67" s="482" t="s">
        <v>987</v>
      </c>
      <c r="E67" s="620">
        <f>IF(I67=0," ",ROUND(I67/10,0))</f>
        <v>5</v>
      </c>
      <c r="F67" s="319" t="s">
        <v>969</v>
      </c>
      <c r="G67" s="320"/>
      <c r="H67" s="321">
        <v>880</v>
      </c>
      <c r="I67" s="321">
        <v>54</v>
      </c>
      <c r="J67" s="321">
        <f>IF(I67=0," ",I67*0.93)</f>
        <v>50.220000000000006</v>
      </c>
      <c r="K67" s="321">
        <v>22</v>
      </c>
      <c r="L67" s="381">
        <f>M67</f>
        <v>14.223534000000001</v>
      </c>
      <c r="M67" s="322">
        <f>IF(I67=""," ",$I67*0.021503+0.032497*$AE67+0.016309*$AF67+0.014701*$AJ67-0.021071*$K67)</f>
        <v>14.223534000000001</v>
      </c>
      <c r="N67" s="311">
        <f>IF(I67=0," ",(I67/H67*880*0.0314-0.52)/880*H67)</f>
        <v>1.1755999999999998</v>
      </c>
      <c r="O67" s="302">
        <f>IF(N67=" "," ",N67*0.92)</f>
        <v>1.0815519999999998</v>
      </c>
      <c r="P67" s="311">
        <f>IF(N67=" "," ",(I67/H67*880*0.0336+0.11)/880*H67)</f>
        <v>1.9243999999999999</v>
      </c>
      <c r="Q67" s="302">
        <f>IF(N67=" "," ",P67*(1.5*0.93+2.2*0.88)/3.6)</f>
        <v>1.7806045555555556</v>
      </c>
      <c r="R67" s="311">
        <f>IF(N67=" "," ",(I67/H67*880*0.0324-0.23)/880*H67)</f>
        <v>1.5195999999999998</v>
      </c>
      <c r="S67" s="302">
        <f>IF(N67=" "," ",R67*0.92)</f>
        <v>1.3980319999999999</v>
      </c>
      <c r="T67" s="311">
        <f>IF(N67=" "," ",(I67/H67*880*0.0116-0)/880*H67)</f>
        <v>0.62639999999999996</v>
      </c>
      <c r="U67" s="302">
        <f>IF(N67=" "," ",T67*0.91)</f>
        <v>0.57002399999999998</v>
      </c>
      <c r="V67" s="274">
        <v>0.1</v>
      </c>
      <c r="W67" s="311">
        <v>2</v>
      </c>
      <c r="X67" s="302">
        <f>W67*0.5</f>
        <v>1</v>
      </c>
      <c r="Y67" s="301">
        <f>W67*0.65</f>
        <v>1.3</v>
      </c>
      <c r="Z67" s="311">
        <v>2.2999999999999998</v>
      </c>
      <c r="AA67" s="322">
        <v>8.8000000000000007</v>
      </c>
      <c r="AB67" s="323">
        <f>IF($I67=0," ",AB$53*$H67/$H$53)</f>
        <v>3.8</v>
      </c>
      <c r="AC67" s="311">
        <f>IF($I67=""," ",$I67*0.0151-0.05)</f>
        <v>0.76539999999999997</v>
      </c>
      <c r="AD67" s="311">
        <f>AC67*0.93</f>
        <v>0.71182199999999995</v>
      </c>
      <c r="AE67" s="321">
        <v>106</v>
      </c>
      <c r="AF67" s="321">
        <v>528</v>
      </c>
      <c r="AG67" s="321">
        <v>106</v>
      </c>
      <c r="AH67" s="321">
        <v>70</v>
      </c>
      <c r="AI67" s="612">
        <f>(H67-AH67)*AU67-I67*AV67-AE67*AW67-AF67-AG67</f>
        <v>-13.300000000000068</v>
      </c>
      <c r="AJ67" s="321">
        <f t="shared" si="59"/>
        <v>100</v>
      </c>
      <c r="AK67" s="610">
        <f>AK$65/$H65*$H67*AE$67/AE$65</f>
        <v>74.040999999999997</v>
      </c>
      <c r="AL67" s="610">
        <f>AL$65/$H65*$H67*AF67/AF$65</f>
        <v>13.486846153846153</v>
      </c>
      <c r="AM67" s="610">
        <f>AM$65/$H65*$H67*AG67/AG$65</f>
        <v>9.1822500000000016</v>
      </c>
      <c r="AN67" s="321"/>
      <c r="AO67" s="321"/>
      <c r="AP67" s="321"/>
      <c r="AQ67" s="612">
        <f>IF(H67="","",50*V67+83*Z67+26*AB67+44*AA67-59*W67-13*P67-28*AZ67)</f>
        <v>522.62040000000013</v>
      </c>
      <c r="AR67" s="847">
        <f>IF(H67="","",V67/1000*20140+Z67/1000*48600+1100/440*I67)</f>
        <v>248.79399999999998</v>
      </c>
      <c r="AS67" s="321">
        <f>AX67*K67+AY67*AT67-AF67-AG67</f>
        <v>-43.3599999999999</v>
      </c>
      <c r="AT67" s="321">
        <f t="shared" si="29"/>
        <v>628</v>
      </c>
      <c r="AU67" s="852">
        <v>0.95</v>
      </c>
      <c r="AV67" s="852">
        <v>0.93</v>
      </c>
      <c r="AW67" s="852">
        <v>0.93</v>
      </c>
      <c r="AX67" s="852">
        <v>0.3</v>
      </c>
      <c r="AY67" s="852">
        <v>0.93</v>
      </c>
      <c r="AZ67" s="303">
        <f>0.66*H67/1000</f>
        <v>0.58080000000000009</v>
      </c>
      <c r="BA67" s="321">
        <f>33*H67/1000*K67/$K$53</f>
        <v>25.555199999999999</v>
      </c>
      <c r="BB67" s="321">
        <f>127*H67/1000*K67/$K$53</f>
        <v>98.348800000000011</v>
      </c>
      <c r="BC67" s="381">
        <f t="shared" si="4"/>
        <v>21.719179820000001</v>
      </c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277"/>
      <c r="CK67" s="277"/>
      <c r="CL67" s="277"/>
      <c r="CM67" s="277"/>
      <c r="CN67" s="277"/>
      <c r="CO67" s="277"/>
      <c r="CP67" s="277"/>
      <c r="CQ67" s="277"/>
      <c r="CR67" s="277"/>
      <c r="CS67" s="277"/>
      <c r="CT67" s="277"/>
      <c r="CU67" s="277"/>
      <c r="CV67" s="277"/>
      <c r="CW67" s="277"/>
      <c r="CX67" s="277"/>
      <c r="CY67" s="277"/>
      <c r="CZ67" s="277"/>
      <c r="DA67" s="277"/>
      <c r="DB67" s="277"/>
      <c r="DC67" s="277"/>
      <c r="DD67" s="277"/>
      <c r="DE67" s="277"/>
      <c r="DF67" s="277"/>
      <c r="DG67" s="277"/>
      <c r="DH67" s="277"/>
      <c r="DI67" s="277"/>
      <c r="DJ67" s="277"/>
      <c r="DK67" s="277"/>
      <c r="DL67" s="277"/>
      <c r="DM67" s="277"/>
      <c r="DN67" s="277"/>
      <c r="DO67" s="277"/>
      <c r="DP67" s="277"/>
      <c r="DQ67" s="277"/>
      <c r="DR67" s="277"/>
      <c r="DS67" s="277"/>
      <c r="DT67" s="277"/>
      <c r="DU67" s="277"/>
      <c r="DV67" s="277"/>
      <c r="DW67" s="277"/>
      <c r="DX67" s="277"/>
      <c r="DY67" s="277"/>
      <c r="DZ67" s="277"/>
      <c r="EA67" s="277"/>
      <c r="EB67" s="277"/>
      <c r="EC67" s="277"/>
      <c r="ED67" s="277"/>
      <c r="EE67" s="277"/>
      <c r="EF67" s="277"/>
      <c r="EG67" s="277"/>
      <c r="EH67" s="277"/>
      <c r="EI67" s="277"/>
      <c r="EJ67" s="277"/>
      <c r="EK67" s="277"/>
      <c r="EL67" s="277"/>
      <c r="EM67" s="277"/>
    </row>
    <row r="68" spans="1:143" s="3" customFormat="1" ht="12.5" customHeight="1">
      <c r="A68" s="897" t="str">
        <f t="shared" si="52"/>
        <v>Keksmehl 9% RP DLG 2014</v>
      </c>
      <c r="B68" s="298">
        <f>IF(D68=""," ",COUNTA($D$8:D68))</f>
        <v>61</v>
      </c>
      <c r="C68" s="327"/>
      <c r="D68" s="482" t="s">
        <v>984</v>
      </c>
      <c r="E68" s="620">
        <f t="shared" si="0"/>
        <v>9</v>
      </c>
      <c r="F68" s="319" t="s">
        <v>969</v>
      </c>
      <c r="G68" s="320"/>
      <c r="H68" s="321">
        <v>860</v>
      </c>
      <c r="I68" s="321">
        <v>86</v>
      </c>
      <c r="J68" s="321">
        <f>IF(I68=0," ",I68*0.93)</f>
        <v>79.98</v>
      </c>
      <c r="K68" s="321">
        <v>11</v>
      </c>
      <c r="L68" s="381">
        <f>M68</f>
        <v>16.803550999999999</v>
      </c>
      <c r="M68" s="322">
        <f t="shared" si="53"/>
        <v>16.803550999999999</v>
      </c>
      <c r="N68" s="311">
        <f>IF(I68=0," ",(I68/H68*880*0.0314-0.52)/880*H68)</f>
        <v>2.1922181818181814</v>
      </c>
      <c r="O68" s="302">
        <f>IF(N68=" "," ",N68*0.92)</f>
        <v>2.0168407272727271</v>
      </c>
      <c r="P68" s="311">
        <f>IF(N68=" "," ",(I68/H68*880*0.0336+0.11)/880*H68)</f>
        <v>2.9970999999999997</v>
      </c>
      <c r="Q68" s="302">
        <f>IF(N68=" "," ",P68*(1.3*0.93+1.6*0.88)/2.9)</f>
        <v>2.7046243793103444</v>
      </c>
      <c r="R68" s="311">
        <f>IF(N68=" "," ",(I68/H68*880*0.0324-0.23)/880*H68)</f>
        <v>2.5616272727272724</v>
      </c>
      <c r="S68" s="302">
        <f>IF(N68=" "," ",R68*0.92)</f>
        <v>2.3566970909090905</v>
      </c>
      <c r="T68" s="311">
        <f>IF(N68=" "," ",(I68/H68*880*0.0116-0)/880*H68)</f>
        <v>0.99760000000000004</v>
      </c>
      <c r="U68" s="302">
        <f>IF(N68=" "," ",T68*0.91)</f>
        <v>0.90781600000000007</v>
      </c>
      <c r="V68" s="274">
        <v>0.9</v>
      </c>
      <c r="W68" s="311">
        <v>1.1000000000000001</v>
      </c>
      <c r="X68" s="302">
        <f>W68*0.5</f>
        <v>0.55000000000000004</v>
      </c>
      <c r="Y68" s="301">
        <f t="shared" si="65"/>
        <v>0.71500000000000008</v>
      </c>
      <c r="Z68" s="311">
        <v>0.4</v>
      </c>
      <c r="AA68" s="322">
        <v>3.4</v>
      </c>
      <c r="AB68" s="323">
        <f>IF($I68=0," ",AB$53*$H68/$H$53)</f>
        <v>3.7136363636363638</v>
      </c>
      <c r="AC68" s="311">
        <f>IF($I68=""," ",$I68*0.0151-0.05)</f>
        <v>1.2485999999999999</v>
      </c>
      <c r="AD68" s="311">
        <f>AC68*0.93</f>
        <v>1.161198</v>
      </c>
      <c r="AE68" s="321">
        <v>206</v>
      </c>
      <c r="AF68" s="321">
        <v>344</v>
      </c>
      <c r="AG68" s="321">
        <f>140*0.92</f>
        <v>128.80000000000001</v>
      </c>
      <c r="AH68" s="321">
        <v>17</v>
      </c>
      <c r="AI68" s="612">
        <f>(H68-AH68)*AU68-I68*AV68-AE68*AW68-AF68-AG68</f>
        <v>4.769999999999925</v>
      </c>
      <c r="AJ68" s="321">
        <f t="shared" si="59"/>
        <v>196</v>
      </c>
      <c r="AK68" s="610">
        <f>AK$65/$H65*$H68*AE$68/AE$65</f>
        <v>140.62074999999999</v>
      </c>
      <c r="AL68" s="610">
        <f>AL$65/$H65*$H68*AF$68/AF$65</f>
        <v>8.5871826923076924</v>
      </c>
      <c r="AM68" s="610">
        <f>AM$65/$H65*$H68*AG$68/AG$65</f>
        <v>10.903725000000001</v>
      </c>
      <c r="AN68" s="321"/>
      <c r="AO68" s="321"/>
      <c r="AP68" s="321"/>
      <c r="AQ68" s="612">
        <f t="shared" si="50"/>
        <v>204.5994454545455</v>
      </c>
      <c r="AR68" s="847">
        <f t="shared" si="51"/>
        <v>252.566</v>
      </c>
      <c r="AS68" s="321">
        <f>AX68*K68+AY68*AT68-AF68-AG68</f>
        <v>32.480000000000018</v>
      </c>
      <c r="AT68" s="321">
        <f t="shared" si="29"/>
        <v>540</v>
      </c>
      <c r="AU68" s="852">
        <v>0.83</v>
      </c>
      <c r="AV68" s="852">
        <v>0.93</v>
      </c>
      <c r="AW68" s="852">
        <v>0.69</v>
      </c>
      <c r="AX68" s="852">
        <v>0.28000000000000003</v>
      </c>
      <c r="AY68" s="852">
        <v>0.93</v>
      </c>
      <c r="AZ68" s="303">
        <f t="shared" si="71"/>
        <v>0.56759999999999999</v>
      </c>
      <c r="BA68" s="321">
        <f>33*H68/1000*K68/$K$53</f>
        <v>12.4872</v>
      </c>
      <c r="BB68" s="321">
        <f>127*H68/1000*K68/$K$53</f>
        <v>48.056800000000003</v>
      </c>
      <c r="BC68" s="381">
        <f t="shared" si="4"/>
        <v>25.897592229999997</v>
      </c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7"/>
      <c r="CQ68" s="277"/>
      <c r="CR68" s="277"/>
      <c r="CS68" s="277"/>
      <c r="CT68" s="277"/>
      <c r="CU68" s="277"/>
      <c r="CV68" s="277"/>
      <c r="CW68" s="277"/>
      <c r="CX68" s="277"/>
      <c r="CY68" s="277"/>
      <c r="CZ68" s="277"/>
      <c r="DA68" s="277"/>
      <c r="DB68" s="277"/>
      <c r="DC68" s="277"/>
      <c r="DD68" s="277"/>
      <c r="DE68" s="277"/>
      <c r="DF68" s="277"/>
      <c r="DG68" s="277"/>
      <c r="DH68" s="277"/>
      <c r="DI68" s="277"/>
      <c r="DJ68" s="277"/>
      <c r="DK68" s="277"/>
      <c r="DL68" s="277"/>
      <c r="DM68" s="277"/>
      <c r="DN68" s="277"/>
      <c r="DO68" s="277"/>
      <c r="DP68" s="277"/>
      <c r="DQ68" s="277"/>
      <c r="DR68" s="277"/>
      <c r="DS68" s="277"/>
      <c r="DT68" s="277"/>
      <c r="DU68" s="277"/>
      <c r="DV68" s="277"/>
      <c r="DW68" s="277"/>
      <c r="DX68" s="277"/>
      <c r="DY68" s="277"/>
      <c r="DZ68" s="277"/>
      <c r="EA68" s="277"/>
      <c r="EB68" s="277"/>
      <c r="EC68" s="277"/>
      <c r="ED68" s="277"/>
      <c r="EE68" s="277"/>
      <c r="EF68" s="277"/>
      <c r="EG68" s="277"/>
      <c r="EH68" s="277"/>
      <c r="EI68" s="277"/>
      <c r="EJ68" s="277"/>
      <c r="EK68" s="277"/>
      <c r="EL68" s="277"/>
      <c r="EM68" s="277"/>
    </row>
    <row r="69" spans="1:143" s="3" customFormat="1" ht="12.5" customHeight="1">
      <c r="A69" s="897" t="str">
        <f t="shared" si="52"/>
        <v xml:space="preserve">eigene Keksmehl </v>
      </c>
      <c r="B69" s="298">
        <f>IF(D69=""," ",COUNTA($D$8:D69))</f>
        <v>62</v>
      </c>
      <c r="C69" s="327"/>
      <c r="D69" s="480" t="s">
        <v>986</v>
      </c>
      <c r="E69" s="619" t="str">
        <f t="shared" si="0"/>
        <v xml:space="preserve"> </v>
      </c>
      <c r="F69" s="306"/>
      <c r="G69" s="305"/>
      <c r="H69" s="91"/>
      <c r="I69" s="91"/>
      <c r="J69" s="306" t="str">
        <f>IF(I69=0," ",I69*0.93)</f>
        <v xml:space="preserve"> </v>
      </c>
      <c r="K69" s="91"/>
      <c r="L69" s="988" t="str">
        <f>IF($I69=""," ",I69*0.0205*AV69+0.0398*AW69*AE69+0.0173*AF69+0.016*$AG69+0.0147*AI69)</f>
        <v xml:space="preserve"> </v>
      </c>
      <c r="M69" s="988" t="str">
        <f t="shared" si="53"/>
        <v xml:space="preserve"> </v>
      </c>
      <c r="N69" s="307" t="str">
        <f>IF(I69=0," ",(I69/H69*880*0.0314-0.52)/880*H69)</f>
        <v xml:space="preserve"> </v>
      </c>
      <c r="O69" s="308" t="str">
        <f>IF(N69=" "," ",N69*0.92)</f>
        <v xml:space="preserve"> </v>
      </c>
      <c r="P69" s="307" t="str">
        <f>IF(N69=" "," ",(I69/H69*880*0.0336+0.11)/880*H69)</f>
        <v xml:space="preserve"> </v>
      </c>
      <c r="Q69" s="308" t="str">
        <f>IF(N69=" "," ",P69*(1.5*0.93+1.9*0.88)/3.4)</f>
        <v xml:space="preserve"> </v>
      </c>
      <c r="R69" s="307" t="str">
        <f>IF(N69=" "," ",(I69/H69*880*0.0324-0.23)/880*H69)</f>
        <v xml:space="preserve"> </v>
      </c>
      <c r="S69" s="308" t="str">
        <f>IF(N69=" "," ",R69*0.92)</f>
        <v xml:space="preserve"> </v>
      </c>
      <c r="T69" s="307" t="str">
        <f>IF(N69=" "," ",(I69/H69*880*0.0116-0)/880*H69)</f>
        <v xml:space="preserve"> </v>
      </c>
      <c r="U69" s="308" t="str">
        <f>IF(N69=" "," ",T69*0.91)</f>
        <v xml:space="preserve"> </v>
      </c>
      <c r="V69" s="307" t="str">
        <f>IF($H69="","",V68/H68*H69)</f>
        <v/>
      </c>
      <c r="W69" s="307" t="str">
        <f t="shared" ref="W69:AB69" si="77">IF($H69="","",W68/I68*I69)</f>
        <v/>
      </c>
      <c r="X69" s="308" t="str">
        <f t="shared" si="77"/>
        <v/>
      </c>
      <c r="Y69" s="308" t="str">
        <f t="shared" si="77"/>
        <v/>
      </c>
      <c r="Z69" s="307" t="str">
        <f t="shared" si="77"/>
        <v/>
      </c>
      <c r="AA69" s="307" t="str">
        <f t="shared" si="77"/>
        <v/>
      </c>
      <c r="AB69" s="310" t="str">
        <f t="shared" si="77"/>
        <v/>
      </c>
      <c r="AC69" s="307" t="str">
        <f>IF($I69=""," ",($I69/H69*880*0.0151-0.05)/880*H69)</f>
        <v xml:space="preserve"> </v>
      </c>
      <c r="AD69" s="307" t="str">
        <f>IF($N69=" "," ",AC69*0.93)</f>
        <v xml:space="preserve"> </v>
      </c>
      <c r="AE69" s="92"/>
      <c r="AF69" s="92"/>
      <c r="AG69" s="92"/>
      <c r="AH69" s="92"/>
      <c r="AI69" s="306" t="str">
        <f>IF($I69=""," ",(H69-AH69)*AU69-I69*AV69-AE69*AW69-AF69-AG69)</f>
        <v xml:space="preserve"> </v>
      </c>
      <c r="AJ69" s="306" t="str">
        <f t="shared" si="59"/>
        <v xml:space="preserve"> </v>
      </c>
      <c r="AK69" s="307" t="str">
        <f t="shared" ref="AK69:AP69" si="78">IF($I69=0," ",AK68*$H69/$H68)</f>
        <v xml:space="preserve"> </v>
      </c>
      <c r="AL69" s="307" t="str">
        <f t="shared" si="78"/>
        <v xml:space="preserve"> </v>
      </c>
      <c r="AM69" s="307" t="str">
        <f t="shared" si="78"/>
        <v xml:space="preserve"> </v>
      </c>
      <c r="AN69" s="306" t="str">
        <f t="shared" si="78"/>
        <v xml:space="preserve"> </v>
      </c>
      <c r="AO69" s="306" t="str">
        <f t="shared" si="78"/>
        <v xml:space="preserve"> </v>
      </c>
      <c r="AP69" s="306" t="str">
        <f t="shared" si="78"/>
        <v xml:space="preserve"> </v>
      </c>
      <c r="AQ69" s="306" t="str">
        <f t="shared" si="50"/>
        <v/>
      </c>
      <c r="AR69" s="306" t="str">
        <f t="shared" si="51"/>
        <v/>
      </c>
      <c r="AS69" s="306" t="str">
        <f>IF($I69=0," ",AX69*K69+AY69*AT69-AF69-AG69)</f>
        <v xml:space="preserve"> </v>
      </c>
      <c r="AT69" s="92" t="str">
        <f t="shared" si="29"/>
        <v xml:space="preserve"> </v>
      </c>
      <c r="AU69" s="853" t="str">
        <f>IF($I69=0," ",AU68)</f>
        <v xml:space="preserve"> </v>
      </c>
      <c r="AV69" s="853" t="str">
        <f>IF($I69=0," ",AV68)</f>
        <v xml:space="preserve"> </v>
      </c>
      <c r="AW69" s="853" t="str">
        <f>IF($I69=0," ",AW68)</f>
        <v xml:space="preserve"> </v>
      </c>
      <c r="AX69" s="853" t="str">
        <f>IF($I69=0," ",AX68)</f>
        <v xml:space="preserve"> </v>
      </c>
      <c r="AY69" s="853" t="str">
        <f>IF($I69=0," ",AY68)</f>
        <v xml:space="preserve"> </v>
      </c>
      <c r="AZ69" s="309" t="str">
        <f>IF($I69=0," ",AZ$68*$H69/$H$68)</f>
        <v xml:space="preserve"> </v>
      </c>
      <c r="BA69" s="92" t="str">
        <f>IF($I69=0," ",BA68*$H69/$H68*K69/K68)</f>
        <v xml:space="preserve"> </v>
      </c>
      <c r="BB69" s="92" t="str">
        <f>IF($I69=0," ",BB68*$H69/$H68*K69/K68)</f>
        <v xml:space="preserve"> </v>
      </c>
      <c r="BC69" s="988" t="str">
        <f t="shared" si="4"/>
        <v/>
      </c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7"/>
      <c r="CI69" s="277"/>
      <c r="CJ69" s="277"/>
      <c r="CK69" s="277"/>
      <c r="CL69" s="277"/>
      <c r="CM69" s="277"/>
      <c r="CN69" s="277"/>
      <c r="CO69" s="277"/>
      <c r="CP69" s="277"/>
      <c r="CQ69" s="277"/>
      <c r="CR69" s="277"/>
      <c r="CS69" s="277"/>
      <c r="CT69" s="277"/>
      <c r="CU69" s="277"/>
      <c r="CV69" s="277"/>
      <c r="CW69" s="277"/>
      <c r="CX69" s="277"/>
      <c r="CY69" s="277"/>
      <c r="CZ69" s="277"/>
      <c r="DA69" s="277"/>
      <c r="DB69" s="277"/>
      <c r="DC69" s="277"/>
      <c r="DD69" s="277"/>
      <c r="DE69" s="277"/>
      <c r="DF69" s="277"/>
      <c r="DG69" s="277"/>
      <c r="DH69" s="277"/>
      <c r="DI69" s="277"/>
      <c r="DJ69" s="277"/>
      <c r="DK69" s="277"/>
      <c r="DL69" s="277"/>
      <c r="DM69" s="277"/>
      <c r="DN69" s="277"/>
      <c r="DO69" s="277"/>
      <c r="DP69" s="277"/>
      <c r="DQ69" s="277"/>
      <c r="DR69" s="277"/>
      <c r="DS69" s="277"/>
      <c r="DT69" s="277"/>
      <c r="DU69" s="277"/>
      <c r="DV69" s="277"/>
      <c r="DW69" s="277"/>
      <c r="DX69" s="277"/>
      <c r="DY69" s="277"/>
      <c r="DZ69" s="277"/>
      <c r="EA69" s="277"/>
      <c r="EB69" s="277"/>
      <c r="EC69" s="277"/>
      <c r="ED69" s="277"/>
      <c r="EE69" s="277"/>
      <c r="EF69" s="277"/>
      <c r="EG69" s="277"/>
      <c r="EH69" s="277"/>
      <c r="EI69" s="277"/>
      <c r="EJ69" s="277"/>
      <c r="EK69" s="277"/>
      <c r="EL69" s="277"/>
      <c r="EM69" s="277"/>
    </row>
    <row r="70" spans="1:143" s="3" customFormat="1" ht="5" customHeight="1">
      <c r="A70" s="897" t="str">
        <f t="shared" si="52"/>
        <v xml:space="preserve"> </v>
      </c>
      <c r="B70" s="298" t="str">
        <f>IF(D70=""," ",COUNTA($D$8:D70))</f>
        <v xml:space="preserve"> </v>
      </c>
      <c r="C70" s="327"/>
      <c r="D70" s="374"/>
      <c r="E70" s="624" t="str">
        <f t="shared" si="0"/>
        <v xml:space="preserve"> </v>
      </c>
      <c r="F70" s="625"/>
      <c r="G70" s="626"/>
      <c r="H70" s="616"/>
      <c r="I70" s="616"/>
      <c r="J70" s="616"/>
      <c r="K70" s="616"/>
      <c r="L70" s="627"/>
      <c r="M70" s="627"/>
      <c r="N70" s="628"/>
      <c r="O70" s="629"/>
      <c r="P70" s="628"/>
      <c r="Q70" s="629"/>
      <c r="R70" s="628"/>
      <c r="S70" s="629"/>
      <c r="T70" s="628"/>
      <c r="U70" s="629"/>
      <c r="V70" s="628"/>
      <c r="W70" s="628"/>
      <c r="X70" s="629"/>
      <c r="Y70" s="629"/>
      <c r="Z70" s="628"/>
      <c r="AA70" s="627"/>
      <c r="AB70" s="630"/>
      <c r="AC70" s="628"/>
      <c r="AD70" s="628"/>
      <c r="AE70" s="616"/>
      <c r="AF70" s="616"/>
      <c r="AG70" s="616"/>
      <c r="AH70" s="616"/>
      <c r="AI70" s="616"/>
      <c r="AJ70" s="616"/>
      <c r="AK70" s="628"/>
      <c r="AL70" s="628"/>
      <c r="AM70" s="628"/>
      <c r="AN70" s="616"/>
      <c r="AO70" s="616"/>
      <c r="AP70" s="616"/>
      <c r="AQ70" s="616"/>
      <c r="AR70" s="616"/>
      <c r="AS70" s="616"/>
      <c r="AT70" s="616"/>
      <c r="AU70" s="856"/>
      <c r="AV70" s="856"/>
      <c r="AW70" s="856"/>
      <c r="AX70" s="856"/>
      <c r="AY70" s="856"/>
      <c r="AZ70" s="627"/>
      <c r="BA70" s="616"/>
      <c r="BB70" s="616"/>
      <c r="BC70" s="627" t="str">
        <f t="shared" si="4"/>
        <v/>
      </c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277"/>
      <c r="BX70" s="277"/>
      <c r="BY70" s="277"/>
      <c r="BZ70" s="277"/>
      <c r="CA70" s="277"/>
      <c r="CB70" s="277"/>
      <c r="CC70" s="277"/>
      <c r="CD70" s="277"/>
      <c r="CE70" s="277"/>
      <c r="CF70" s="277"/>
      <c r="CG70" s="277"/>
      <c r="CH70" s="277"/>
      <c r="CI70" s="277"/>
      <c r="CJ70" s="277"/>
      <c r="CK70" s="277"/>
      <c r="CL70" s="277"/>
      <c r="CM70" s="277"/>
      <c r="CN70" s="277"/>
      <c r="CO70" s="277"/>
      <c r="CP70" s="277"/>
      <c r="CQ70" s="277"/>
      <c r="CR70" s="277"/>
      <c r="CS70" s="277"/>
      <c r="CT70" s="277"/>
      <c r="CU70" s="277"/>
      <c r="CV70" s="277"/>
      <c r="CW70" s="277"/>
      <c r="CX70" s="277"/>
      <c r="CY70" s="277"/>
      <c r="CZ70" s="277"/>
      <c r="DA70" s="277"/>
      <c r="DB70" s="277"/>
      <c r="DC70" s="277"/>
      <c r="DD70" s="277"/>
      <c r="DE70" s="277"/>
      <c r="DF70" s="277"/>
      <c r="DG70" s="277"/>
      <c r="DH70" s="277"/>
      <c r="DI70" s="277"/>
      <c r="DJ70" s="277"/>
      <c r="DK70" s="277"/>
      <c r="DL70" s="277"/>
      <c r="DM70" s="277"/>
      <c r="DN70" s="277"/>
      <c r="DO70" s="277"/>
      <c r="DP70" s="277"/>
      <c r="DQ70" s="277"/>
      <c r="DR70" s="277"/>
      <c r="DS70" s="277"/>
      <c r="DT70" s="277"/>
      <c r="DU70" s="277"/>
      <c r="DV70" s="277"/>
      <c r="DW70" s="277"/>
      <c r="DX70" s="277"/>
      <c r="DY70" s="277"/>
      <c r="DZ70" s="277"/>
      <c r="EA70" s="277"/>
      <c r="EB70" s="277"/>
      <c r="EC70" s="277"/>
      <c r="ED70" s="277"/>
      <c r="EE70" s="277"/>
      <c r="EF70" s="277"/>
      <c r="EG70" s="277"/>
      <c r="EH70" s="277"/>
      <c r="EI70" s="277"/>
      <c r="EJ70" s="277"/>
      <c r="EK70" s="277"/>
      <c r="EL70" s="277"/>
      <c r="EM70" s="277"/>
    </row>
    <row r="71" spans="1:143" s="3" customFormat="1" ht="12.5" customHeight="1">
      <c r="A71" s="897" t="str">
        <f t="shared" si="52"/>
        <v xml:space="preserve">Eiweißreiche Futtermittel </v>
      </c>
      <c r="B71" s="601">
        <f>IF(D71=""," ",COUNTA($D$8:D71))</f>
        <v>63</v>
      </c>
      <c r="C71" s="374"/>
      <c r="D71" s="632" t="s">
        <v>560</v>
      </c>
      <c r="E71" s="624" t="str">
        <f t="shared" si="0"/>
        <v xml:space="preserve"> </v>
      </c>
      <c r="F71" s="631"/>
      <c r="G71" s="626"/>
      <c r="H71" s="616"/>
      <c r="I71" s="616"/>
      <c r="J71" s="616"/>
      <c r="K71" s="616"/>
      <c r="L71" s="627"/>
      <c r="M71" s="627"/>
      <c r="N71" s="628"/>
      <c r="O71" s="629"/>
      <c r="P71" s="628"/>
      <c r="Q71" s="629"/>
      <c r="R71" s="628"/>
      <c r="S71" s="629"/>
      <c r="T71" s="628"/>
      <c r="U71" s="629"/>
      <c r="V71" s="628"/>
      <c r="W71" s="628"/>
      <c r="X71" s="629"/>
      <c r="Y71" s="629"/>
      <c r="Z71" s="628"/>
      <c r="AA71" s="627"/>
      <c r="AB71" s="630"/>
      <c r="AC71" s="628"/>
      <c r="AD71" s="628"/>
      <c r="AE71" s="616"/>
      <c r="AF71" s="616"/>
      <c r="AG71" s="616"/>
      <c r="AH71" s="616"/>
      <c r="AI71" s="616"/>
      <c r="AJ71" s="616"/>
      <c r="AK71" s="628"/>
      <c r="AL71" s="628"/>
      <c r="AM71" s="628"/>
      <c r="AN71" s="616"/>
      <c r="AO71" s="616"/>
      <c r="AP71" s="616"/>
      <c r="AQ71" s="616"/>
      <c r="AR71" s="616"/>
      <c r="AS71" s="616"/>
      <c r="AT71" s="616"/>
      <c r="AU71" s="856"/>
      <c r="AV71" s="856"/>
      <c r="AW71" s="856"/>
      <c r="AX71" s="856"/>
      <c r="AY71" s="856"/>
      <c r="AZ71" s="627"/>
      <c r="BA71" s="616"/>
      <c r="BB71" s="616"/>
      <c r="BC71" s="627" t="str">
        <f t="shared" si="4"/>
        <v/>
      </c>
      <c r="BD71" s="277"/>
      <c r="BE71" s="277"/>
      <c r="BF71" s="277"/>
      <c r="BG71" s="277"/>
      <c r="BH71" s="277"/>
      <c r="BI71" s="277"/>
      <c r="BJ71" s="277"/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7"/>
      <c r="CC71" s="277"/>
      <c r="CD71" s="277"/>
      <c r="CE71" s="277"/>
      <c r="CF71" s="277"/>
      <c r="CG71" s="277"/>
      <c r="CH71" s="277"/>
      <c r="CI71" s="277"/>
      <c r="CJ71" s="277"/>
      <c r="CK71" s="277"/>
      <c r="CL71" s="277"/>
      <c r="CM71" s="277"/>
      <c r="CN71" s="277"/>
      <c r="CO71" s="277"/>
      <c r="CP71" s="277"/>
      <c r="CQ71" s="277"/>
      <c r="CR71" s="277"/>
      <c r="CS71" s="277"/>
      <c r="CT71" s="277"/>
      <c r="CU71" s="277"/>
      <c r="CV71" s="277"/>
      <c r="CW71" s="277"/>
      <c r="CX71" s="277"/>
      <c r="CY71" s="277"/>
      <c r="CZ71" s="277"/>
      <c r="DA71" s="277"/>
      <c r="DB71" s="277"/>
      <c r="DC71" s="277"/>
      <c r="DD71" s="277"/>
      <c r="DE71" s="277"/>
      <c r="DF71" s="277"/>
      <c r="DG71" s="277"/>
      <c r="DH71" s="277"/>
      <c r="DI71" s="277"/>
      <c r="DJ71" s="277"/>
      <c r="DK71" s="277"/>
      <c r="DL71" s="277"/>
      <c r="DM71" s="277"/>
      <c r="DN71" s="277"/>
      <c r="DO71" s="277"/>
      <c r="DP71" s="277"/>
      <c r="DQ71" s="277"/>
      <c r="DR71" s="277"/>
      <c r="DS71" s="277"/>
      <c r="DT71" s="277"/>
      <c r="DU71" s="277"/>
      <c r="DV71" s="277"/>
      <c r="DW71" s="277"/>
      <c r="DX71" s="277"/>
      <c r="DY71" s="277"/>
      <c r="DZ71" s="277"/>
      <c r="EA71" s="277"/>
      <c r="EB71" s="277"/>
      <c r="EC71" s="277"/>
      <c r="ED71" s="277"/>
      <c r="EE71" s="277"/>
      <c r="EF71" s="277"/>
      <c r="EG71" s="277"/>
      <c r="EH71" s="277"/>
      <c r="EI71" s="277"/>
      <c r="EJ71" s="277"/>
      <c r="EK71" s="277"/>
      <c r="EL71" s="277"/>
      <c r="EM71" s="277"/>
    </row>
    <row r="72" spans="1:143" s="3" customFormat="1" ht="5" customHeight="1">
      <c r="A72" s="897" t="str">
        <f t="shared" si="52"/>
        <v xml:space="preserve"> </v>
      </c>
      <c r="B72" s="298" t="str">
        <f>IF(D72=""," ",COUNTA($D$8:D72))</f>
        <v xml:space="preserve"> </v>
      </c>
      <c r="C72" s="374"/>
      <c r="D72" s="968"/>
      <c r="E72" s="624" t="str">
        <f t="shared" si="0"/>
        <v xml:space="preserve"> </v>
      </c>
      <c r="F72" s="631"/>
      <c r="G72" s="626"/>
      <c r="H72" s="616"/>
      <c r="I72" s="616"/>
      <c r="J72" s="616"/>
      <c r="K72" s="616"/>
      <c r="L72" s="627"/>
      <c r="M72" s="627"/>
      <c r="N72" s="628"/>
      <c r="O72" s="629"/>
      <c r="P72" s="628"/>
      <c r="Q72" s="629"/>
      <c r="R72" s="628"/>
      <c r="S72" s="629"/>
      <c r="T72" s="628"/>
      <c r="U72" s="629"/>
      <c r="V72" s="628"/>
      <c r="W72" s="628"/>
      <c r="X72" s="629"/>
      <c r="Y72" s="629"/>
      <c r="Z72" s="628"/>
      <c r="AA72" s="627"/>
      <c r="AB72" s="630"/>
      <c r="AC72" s="628"/>
      <c r="AD72" s="628"/>
      <c r="AE72" s="616"/>
      <c r="AF72" s="616"/>
      <c r="AG72" s="616"/>
      <c r="AH72" s="616"/>
      <c r="AI72" s="616"/>
      <c r="AJ72" s="616"/>
      <c r="AK72" s="628"/>
      <c r="AL72" s="628"/>
      <c r="AM72" s="628"/>
      <c r="AN72" s="616"/>
      <c r="AO72" s="616"/>
      <c r="AP72" s="616"/>
      <c r="AQ72" s="616"/>
      <c r="AR72" s="616"/>
      <c r="AS72" s="616"/>
      <c r="AT72" s="616"/>
      <c r="AU72" s="856"/>
      <c r="AV72" s="856"/>
      <c r="AW72" s="856"/>
      <c r="AX72" s="856"/>
      <c r="AY72" s="856"/>
      <c r="AZ72" s="627"/>
      <c r="BA72" s="616"/>
      <c r="BB72" s="616"/>
      <c r="BC72" s="627" t="str">
        <f t="shared" si="4"/>
        <v/>
      </c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277"/>
      <c r="CJ72" s="277"/>
      <c r="CK72" s="277"/>
      <c r="CL72" s="277"/>
      <c r="CM72" s="277"/>
      <c r="CN72" s="277"/>
      <c r="CO72" s="277"/>
      <c r="CP72" s="277"/>
      <c r="CQ72" s="277"/>
      <c r="CR72" s="277"/>
      <c r="CS72" s="277"/>
      <c r="CT72" s="277"/>
      <c r="CU72" s="277"/>
      <c r="CV72" s="277"/>
      <c r="CW72" s="277"/>
      <c r="CX72" s="277"/>
      <c r="CY72" s="277"/>
      <c r="CZ72" s="277"/>
      <c r="DA72" s="277"/>
      <c r="DB72" s="277"/>
      <c r="DC72" s="277"/>
      <c r="DD72" s="277"/>
      <c r="DE72" s="277"/>
      <c r="DF72" s="277"/>
      <c r="DG72" s="277"/>
      <c r="DH72" s="277"/>
      <c r="DI72" s="277"/>
      <c r="DJ72" s="277"/>
      <c r="DK72" s="277"/>
      <c r="DL72" s="277"/>
      <c r="DM72" s="277"/>
      <c r="DN72" s="277"/>
      <c r="DO72" s="277"/>
      <c r="DP72" s="277"/>
      <c r="DQ72" s="277"/>
      <c r="DR72" s="277"/>
      <c r="DS72" s="277"/>
      <c r="DT72" s="277"/>
      <c r="DU72" s="277"/>
      <c r="DV72" s="277"/>
      <c r="DW72" s="277"/>
      <c r="DX72" s="277"/>
      <c r="DY72" s="277"/>
      <c r="DZ72" s="277"/>
      <c r="EA72" s="277"/>
      <c r="EB72" s="277"/>
      <c r="EC72" s="277"/>
      <c r="ED72" s="277"/>
      <c r="EE72" s="277"/>
      <c r="EF72" s="277"/>
      <c r="EG72" s="277"/>
      <c r="EH72" s="277"/>
      <c r="EI72" s="277"/>
      <c r="EJ72" s="277"/>
      <c r="EK72" s="277"/>
      <c r="EL72" s="277"/>
      <c r="EM72" s="277"/>
    </row>
    <row r="73" spans="1:143" s="4" customFormat="1" ht="12.5" customHeight="1">
      <c r="A73" s="897" t="str">
        <f t="shared" si="52"/>
        <v>Ackerbohnen  26% RP DLG 2014</v>
      </c>
      <c r="B73" s="298">
        <f>IF(D73=""," ",COUNTA($D$8:D73))</f>
        <v>64</v>
      </c>
      <c r="C73" s="327"/>
      <c r="D73" s="481" t="s">
        <v>55</v>
      </c>
      <c r="E73" s="618">
        <f t="shared" si="0"/>
        <v>26</v>
      </c>
      <c r="F73" s="312" t="s">
        <v>969</v>
      </c>
      <c r="G73" s="313"/>
      <c r="H73" s="314">
        <v>880</v>
      </c>
      <c r="I73" s="314">
        <v>264</v>
      </c>
      <c r="J73" s="314">
        <f>I73*0.77</f>
        <v>203.28</v>
      </c>
      <c r="K73" s="314">
        <v>77</v>
      </c>
      <c r="L73" s="317">
        <f>I73*0.0205*AV73+0.0398*AW73*AE73+0.0173*AF73+0.016*$AG73+0.0147*AI73</f>
        <v>12.410639000000002</v>
      </c>
      <c r="M73" s="317">
        <f>IF(I73=""," ",$I73*0.021503+0.032497*$AE73+0.016309*$AF73+0.014701*$AJ73-0.021071*$K73)</f>
        <v>12.299693000000001</v>
      </c>
      <c r="N73" s="315">
        <f>IF(I73=0," ",I73*0.0359+6.84)</f>
        <v>16.317599999999999</v>
      </c>
      <c r="O73" s="316">
        <f>IF(N73=" "," ",N73*0.82)</f>
        <v>13.380431999999999</v>
      </c>
      <c r="P73" s="315">
        <f>IF(N73=" "," ",I73*0.0114+2.14)</f>
        <v>5.1496000000000004</v>
      </c>
      <c r="Q73" s="316">
        <f>IF(N73=" "," ",P73*(2*0.61+3.4*0.68)/5.4)</f>
        <v>3.368219851851852</v>
      </c>
      <c r="R73" s="315">
        <f>IF(N73=" "," ",I73*0.023+2.87)</f>
        <v>8.9420000000000002</v>
      </c>
      <c r="S73" s="316">
        <f>IF(N73=" "," ",R73*0.75)</f>
        <v>6.7065000000000001</v>
      </c>
      <c r="T73" s="315">
        <f>IF(N73=" "," ",I73*0.0066+0.51)</f>
        <v>2.2523999999999997</v>
      </c>
      <c r="U73" s="316">
        <f>IF(N73=" "," ",T73*0.71)</f>
        <v>1.5992039999999996</v>
      </c>
      <c r="V73" s="315">
        <v>1.2</v>
      </c>
      <c r="W73" s="315">
        <v>4.8</v>
      </c>
      <c r="X73" s="316">
        <f>W73*0.4</f>
        <v>1.92</v>
      </c>
      <c r="Y73" s="316">
        <f>W73*0.65</f>
        <v>3.12</v>
      </c>
      <c r="Z73" s="315">
        <v>1.4</v>
      </c>
      <c r="AA73" s="317">
        <v>0.2</v>
      </c>
      <c r="AB73" s="318">
        <v>10.7</v>
      </c>
      <c r="AC73" s="315">
        <f>IF($I73=""," ",$I73*0.0048+0.91)</f>
        <v>2.1772</v>
      </c>
      <c r="AD73" s="315">
        <f>AC73*0.61</f>
        <v>1.3280920000000001</v>
      </c>
      <c r="AE73" s="314">
        <v>14</v>
      </c>
      <c r="AF73" s="314">
        <v>365</v>
      </c>
      <c r="AG73" s="314">
        <v>35</v>
      </c>
      <c r="AH73" s="314">
        <v>35</v>
      </c>
      <c r="AI73" s="314">
        <f t="shared" ref="AI73:AI79" si="79">IF($I73=""," ",(H73-AH73)*AU73-I73*AV73-AE73*AW73-AF73-AG73)</f>
        <v>74.170000000000073</v>
      </c>
      <c r="AJ73" s="314">
        <f t="shared" ref="AJ73:AJ105" si="80">IF($I73=""," ",$H73-($AE73+$AF73+$AH73+$I73+$K73))</f>
        <v>125</v>
      </c>
      <c r="AK73" s="315">
        <v>9</v>
      </c>
      <c r="AL73" s="315"/>
      <c r="AM73" s="315"/>
      <c r="AN73" s="314"/>
      <c r="AO73" s="314"/>
      <c r="AP73" s="314"/>
      <c r="AQ73" s="314">
        <f>IF(H73="","",50*V73+83*Z73+26*AB73+44*AA73-59*W73-13*P73-28*AZ73)</f>
        <v>90.879199999999997</v>
      </c>
      <c r="AR73" s="314">
        <f t="shared" ref="AR73:AR94" si="81">IF(H73="","",V73/1000*20140+Z73/1000*48600+1100/440*I73)</f>
        <v>752.20799999999997</v>
      </c>
      <c r="AS73" s="314">
        <f>AX73*K73+AY73*AT73-AF73-AG73</f>
        <v>64.100000000000023</v>
      </c>
      <c r="AT73" s="314">
        <f t="shared" ref="AT73:AT100" si="82">IF(H73=""," ",H73-I73-AE73-AH73-K73)</f>
        <v>490</v>
      </c>
      <c r="AU73" s="854">
        <v>0.81</v>
      </c>
      <c r="AV73" s="854">
        <v>0.77</v>
      </c>
      <c r="AW73" s="854">
        <v>0.5</v>
      </c>
      <c r="AX73" s="854">
        <v>0.3</v>
      </c>
      <c r="AY73" s="854">
        <v>0.9</v>
      </c>
      <c r="AZ73" s="317">
        <f>0.9*H73/1000</f>
        <v>0.79200000000000004</v>
      </c>
      <c r="BA73" s="314">
        <v>106</v>
      </c>
      <c r="BB73" s="314">
        <v>273</v>
      </c>
      <c r="BC73" s="317">
        <f t="shared" ref="BC73:BC136" si="83">IF(H73="","",0.73*M73+0.055*AE73+0.015*AF73-0.028*I73-0.041*K73)</f>
        <v>4.6747758900000003</v>
      </c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7"/>
      <c r="BW73" s="277"/>
      <c r="BX73" s="277"/>
      <c r="BY73" s="277"/>
      <c r="BZ73" s="277"/>
      <c r="CA73" s="277"/>
      <c r="CB73" s="277"/>
      <c r="CC73" s="277"/>
      <c r="CD73" s="277"/>
      <c r="CE73" s="277"/>
      <c r="CF73" s="277"/>
      <c r="CG73" s="277"/>
      <c r="CH73" s="277"/>
      <c r="CI73" s="277"/>
      <c r="CJ73" s="277"/>
      <c r="CK73" s="277"/>
      <c r="CL73" s="277"/>
      <c r="CM73" s="277"/>
      <c r="CN73" s="277"/>
      <c r="CO73" s="277"/>
      <c r="CP73" s="277"/>
      <c r="CQ73" s="277"/>
      <c r="CR73" s="277"/>
      <c r="CS73" s="277"/>
      <c r="CT73" s="277"/>
      <c r="CU73" s="277"/>
      <c r="CV73" s="277"/>
      <c r="CW73" s="277"/>
      <c r="CX73" s="277"/>
      <c r="CY73" s="277"/>
      <c r="CZ73" s="277"/>
      <c r="DA73" s="277"/>
      <c r="DB73" s="277"/>
      <c r="DC73" s="277"/>
      <c r="DD73" s="277"/>
      <c r="DE73" s="277"/>
      <c r="DF73" s="277"/>
      <c r="DG73" s="277"/>
      <c r="DH73" s="277"/>
      <c r="DI73" s="277"/>
      <c r="DJ73" s="277"/>
      <c r="DK73" s="277"/>
      <c r="DL73" s="277"/>
      <c r="DM73" s="277"/>
      <c r="DN73" s="277"/>
      <c r="DO73" s="277"/>
      <c r="DP73" s="277"/>
      <c r="DQ73" s="277"/>
      <c r="DR73" s="277"/>
      <c r="DS73" s="277"/>
      <c r="DT73" s="277"/>
      <c r="DU73" s="277"/>
      <c r="DV73" s="277"/>
      <c r="DW73" s="277"/>
      <c r="DX73" s="277"/>
      <c r="DY73" s="277"/>
      <c r="DZ73" s="277"/>
      <c r="EA73" s="277"/>
      <c r="EB73" s="277"/>
      <c r="EC73" s="277"/>
      <c r="ED73" s="277"/>
      <c r="EE73" s="277"/>
      <c r="EF73" s="277"/>
      <c r="EG73" s="277"/>
      <c r="EH73" s="277"/>
      <c r="EI73" s="277"/>
      <c r="EJ73" s="277"/>
      <c r="EK73" s="277"/>
      <c r="EL73" s="277"/>
      <c r="EM73" s="277"/>
    </row>
    <row r="74" spans="1:143" s="3" customFormat="1" ht="12.5" customHeight="1">
      <c r="A74" s="897" t="str">
        <f t="shared" si="52"/>
        <v>eigene Ackerbohnen 27% RP Ø 2016</v>
      </c>
      <c r="B74" s="298">
        <f>IF(D74=""," ",COUNTA($D$8:D74))</f>
        <v>65</v>
      </c>
      <c r="C74" s="327"/>
      <c r="D74" s="480" t="s">
        <v>294</v>
      </c>
      <c r="E74" s="619">
        <f t="shared" si="0"/>
        <v>27</v>
      </c>
      <c r="F74" s="306" t="str">
        <f>IF(I74=268.6,"Ø 2016","")</f>
        <v>Ø 2016</v>
      </c>
      <c r="G74" s="305"/>
      <c r="H74" s="91">
        <v>880</v>
      </c>
      <c r="I74" s="91">
        <v>268.60000000000002</v>
      </c>
      <c r="J74" s="306">
        <f>IF(I74=0," ",I74*0.77)</f>
        <v>206.82200000000003</v>
      </c>
      <c r="K74" s="91">
        <v>88</v>
      </c>
      <c r="L74" s="988">
        <f>IF($I74=""," ",I74*0.0205*AV74+0.0398*AW74*AE74+0.0173*AF74+0.016*$AG74+0.0147*AI74)</f>
        <v>12.4797384</v>
      </c>
      <c r="M74" s="988">
        <f t="shared" ref="M74:M104" si="84">IF(I74=""," ",$I74*0.021503+0.032497*$AE74+0.016309*$AF74+0.014701*$AJ74-0.021071*$K74)</f>
        <v>11.9870798</v>
      </c>
      <c r="N74" s="307">
        <f>IF(I74=0," ",(I74/H74*880*0.0359+6.84)/880*H74)</f>
        <v>16.48274</v>
      </c>
      <c r="O74" s="308">
        <f>IF(N74=" "," ",N74*0.82)</f>
        <v>13.515846799999998</v>
      </c>
      <c r="P74" s="307">
        <f>IF(N74=" "," ",(I74/H74*880*0.0114+2.14)/880*H74)</f>
        <v>5.2020400000000002</v>
      </c>
      <c r="Q74" s="308">
        <f>IF(N74=" "," ",P74*(2*0.61+3.4*0.68)/5.4)</f>
        <v>3.4025194962962959</v>
      </c>
      <c r="R74" s="307">
        <f>IF(N74=" "," ",(I74/H74*880*0.023+2.87)/880*H74)</f>
        <v>9.0478000000000005</v>
      </c>
      <c r="S74" s="308">
        <f>IF(N74=" "," ",R74*0.75)</f>
        <v>6.7858499999999999</v>
      </c>
      <c r="T74" s="307">
        <f>IF(N74=" "," ",(I74/H74*880*0.0066+0.51)/880*H74)</f>
        <v>2.2827600000000001</v>
      </c>
      <c r="U74" s="308">
        <f>IF(N74=" "," ",T74*0.71)</f>
        <v>1.6207596</v>
      </c>
      <c r="V74" s="307">
        <f t="shared" ref="V74:AB74" si="85">IF($I74=0," ",V73*$H74/$H73)</f>
        <v>1.2</v>
      </c>
      <c r="W74" s="307">
        <f t="shared" si="85"/>
        <v>4.8</v>
      </c>
      <c r="X74" s="308">
        <f t="shared" si="85"/>
        <v>1.92</v>
      </c>
      <c r="Y74" s="307">
        <f t="shared" si="85"/>
        <v>3.12</v>
      </c>
      <c r="Z74" s="307">
        <f t="shared" si="85"/>
        <v>1.4</v>
      </c>
      <c r="AA74" s="309">
        <f t="shared" si="85"/>
        <v>0.2</v>
      </c>
      <c r="AB74" s="310">
        <f t="shared" si="85"/>
        <v>10.7</v>
      </c>
      <c r="AC74" s="307">
        <f>IF($I74=""," ",($I74/H74*880*0.0048+0.91)/880*H74)</f>
        <v>2.1992799999999999</v>
      </c>
      <c r="AD74" s="307">
        <f>IF(AC74=" "," ",AC74*0.61)</f>
        <v>1.3415607999999999</v>
      </c>
      <c r="AE74" s="92">
        <v>12.7</v>
      </c>
      <c r="AF74" s="92">
        <v>370</v>
      </c>
      <c r="AG74" s="92">
        <v>34.6</v>
      </c>
      <c r="AH74" s="92">
        <v>30.6</v>
      </c>
      <c r="AI74" s="306">
        <f t="shared" si="79"/>
        <v>70.24199999999999</v>
      </c>
      <c r="AJ74" s="306">
        <f t="shared" si="80"/>
        <v>110.09999999999991</v>
      </c>
      <c r="AK74" s="307">
        <f t="shared" ref="AK74:AP74" si="86">IF($I74=0," ",AK73*$H74/$H73)</f>
        <v>9</v>
      </c>
      <c r="AL74" s="307">
        <f t="shared" si="86"/>
        <v>0</v>
      </c>
      <c r="AM74" s="307">
        <f t="shared" si="86"/>
        <v>0</v>
      </c>
      <c r="AN74" s="306">
        <f t="shared" si="86"/>
        <v>0</v>
      </c>
      <c r="AO74" s="306">
        <f t="shared" si="86"/>
        <v>0</v>
      </c>
      <c r="AP74" s="306">
        <f t="shared" si="86"/>
        <v>0</v>
      </c>
      <c r="AQ74" s="306">
        <f>IF($I74=0," ",91*K74/$K73*$H74/$H73)</f>
        <v>104</v>
      </c>
      <c r="AR74" s="306">
        <f t="shared" si="81"/>
        <v>763.70799999999997</v>
      </c>
      <c r="AS74" s="306">
        <f>IF($I74=0," ",AX74*K74+AY74*AT74-AF74-AG74)</f>
        <v>53.889999999999894</v>
      </c>
      <c r="AT74" s="92">
        <f t="shared" si="82"/>
        <v>480.09999999999991</v>
      </c>
      <c r="AU74" s="853">
        <f>IF($I74=0," ",AU73)</f>
        <v>0.81</v>
      </c>
      <c r="AV74" s="853">
        <f>IF($I74=0," ",AV73)</f>
        <v>0.77</v>
      </c>
      <c r="AW74" s="853">
        <f>IF($I74=0," ",AW73)</f>
        <v>0.5</v>
      </c>
      <c r="AX74" s="853">
        <f>IF($I74=0," ",AX73)</f>
        <v>0.3</v>
      </c>
      <c r="AY74" s="853">
        <f>IF($I74=0," ",AY73)</f>
        <v>0.9</v>
      </c>
      <c r="AZ74" s="309">
        <f>IF($I74=0," ",AZ73*$H74/$H73)</f>
        <v>0.79200000000000004</v>
      </c>
      <c r="BA74" s="92">
        <f>IF($I74=0," ",BA73*$H74/$H73*K74/K73)</f>
        <v>121.14285714285714</v>
      </c>
      <c r="BB74" s="92">
        <f>IF($I74=0," ",BB73*$H74/$H73*K74/K73)</f>
        <v>312</v>
      </c>
      <c r="BC74" s="988">
        <f t="shared" si="83"/>
        <v>3.8702682539999969</v>
      </c>
      <c r="BD74" s="277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7"/>
      <c r="BW74" s="277"/>
      <c r="BX74" s="277"/>
      <c r="BY74" s="277"/>
      <c r="BZ74" s="277"/>
      <c r="CA74" s="277"/>
      <c r="CB74" s="277"/>
      <c r="CC74" s="277"/>
      <c r="CD74" s="277"/>
      <c r="CE74" s="277"/>
      <c r="CF74" s="277"/>
      <c r="CG74" s="277"/>
      <c r="CH74" s="277"/>
      <c r="CI74" s="277"/>
      <c r="CJ74" s="277"/>
      <c r="CK74" s="277"/>
      <c r="CL74" s="277"/>
      <c r="CM74" s="277"/>
      <c r="CN74" s="277"/>
      <c r="CO74" s="277"/>
      <c r="CP74" s="277"/>
      <c r="CQ74" s="277"/>
      <c r="CR74" s="277"/>
      <c r="CS74" s="277"/>
      <c r="CT74" s="277"/>
      <c r="CU74" s="277"/>
      <c r="CV74" s="277"/>
      <c r="CW74" s="277"/>
      <c r="CX74" s="277"/>
      <c r="CY74" s="277"/>
      <c r="CZ74" s="277"/>
      <c r="DA74" s="277"/>
      <c r="DB74" s="277"/>
      <c r="DC74" s="277"/>
      <c r="DD74" s="277"/>
      <c r="DE74" s="277"/>
      <c r="DF74" s="277"/>
      <c r="DG74" s="277"/>
      <c r="DH74" s="277"/>
      <c r="DI74" s="277"/>
      <c r="DJ74" s="277"/>
      <c r="DK74" s="277"/>
      <c r="DL74" s="277"/>
      <c r="DM74" s="277"/>
      <c r="DN74" s="277"/>
      <c r="DO74" s="277"/>
      <c r="DP74" s="277"/>
      <c r="DQ74" s="277"/>
      <c r="DR74" s="277"/>
      <c r="DS74" s="277"/>
      <c r="DT74" s="277"/>
      <c r="DU74" s="277"/>
      <c r="DV74" s="277"/>
      <c r="DW74" s="277"/>
      <c r="DX74" s="277"/>
      <c r="DY74" s="277"/>
      <c r="DZ74" s="277"/>
      <c r="EA74" s="277"/>
      <c r="EB74" s="277"/>
      <c r="EC74" s="277"/>
      <c r="ED74" s="277"/>
      <c r="EE74" s="277"/>
      <c r="EF74" s="277"/>
      <c r="EG74" s="277"/>
      <c r="EH74" s="277"/>
      <c r="EI74" s="277"/>
      <c r="EJ74" s="277"/>
      <c r="EK74" s="277"/>
      <c r="EL74" s="277"/>
      <c r="EM74" s="277"/>
    </row>
    <row r="75" spans="1:143" s="3" customFormat="1" ht="12.5" customHeight="1">
      <c r="A75" s="897" t="str">
        <f t="shared" si="52"/>
        <v>Bierhefe, getrocknet 44% RP DLG 2014</v>
      </c>
      <c r="B75" s="298">
        <f>IF(D75=""," ",COUNTA($D$8:D75))</f>
        <v>66</v>
      </c>
      <c r="C75" s="327"/>
      <c r="D75" s="479" t="s">
        <v>299</v>
      </c>
      <c r="E75" s="617">
        <f t="shared" si="0"/>
        <v>44</v>
      </c>
      <c r="F75" s="299" t="s">
        <v>969</v>
      </c>
      <c r="G75" s="300"/>
      <c r="H75" s="275">
        <v>880</v>
      </c>
      <c r="I75" s="275">
        <v>435</v>
      </c>
      <c r="J75" s="275">
        <f>I75*0.85</f>
        <v>369.75</v>
      </c>
      <c r="K75" s="275">
        <f>24.15*H75/1000</f>
        <v>21.251999999999999</v>
      </c>
      <c r="L75" s="381">
        <f>I75*0.0205*AV75+0.0398*AW75*AE75+0.0173*AF75+0.016*$AG75+0.0147*AI75</f>
        <v>12.145340000000001</v>
      </c>
      <c r="M75" s="322">
        <f t="shared" si="84"/>
        <v>14.090979456000001</v>
      </c>
      <c r="N75" s="274">
        <v>30.8</v>
      </c>
      <c r="O75" s="324">
        <f>N75*0.88</f>
        <v>27.103999999999999</v>
      </c>
      <c r="P75" s="274">
        <f>6+3.8</f>
        <v>9.8000000000000007</v>
      </c>
      <c r="Q75" s="324">
        <f>P75*(6*0.82+3.8*0.69)/9.8</f>
        <v>7.5419999999999998</v>
      </c>
      <c r="R75" s="274">
        <v>19.399999999999999</v>
      </c>
      <c r="S75" s="324">
        <f>R75*0.83</f>
        <v>16.101999999999997</v>
      </c>
      <c r="T75" s="274">
        <v>5.5</v>
      </c>
      <c r="U75" s="324">
        <f>T75*0.85</f>
        <v>4.6749999999999998</v>
      </c>
      <c r="V75" s="274">
        <v>1.6</v>
      </c>
      <c r="W75" s="274">
        <v>15</v>
      </c>
      <c r="X75" s="301">
        <f>W75*0.5</f>
        <v>7.5</v>
      </c>
      <c r="Y75" s="301">
        <f>W75*0.65</f>
        <v>9.75</v>
      </c>
      <c r="Z75" s="274">
        <v>2.2000000000000002</v>
      </c>
      <c r="AA75" s="303">
        <v>0.2</v>
      </c>
      <c r="AB75" s="276">
        <v>22.62</v>
      </c>
      <c r="AC75" s="311">
        <v>6</v>
      </c>
      <c r="AD75" s="311">
        <f>AC75*0.82</f>
        <v>4.92</v>
      </c>
      <c r="AE75" s="321">
        <v>14</v>
      </c>
      <c r="AF75" s="321">
        <f>0*$H75/1000</f>
        <v>0</v>
      </c>
      <c r="AG75" s="321">
        <v>13</v>
      </c>
      <c r="AH75" s="321">
        <v>88</v>
      </c>
      <c r="AI75" s="321">
        <f t="shared" si="79"/>
        <v>286.94999999999993</v>
      </c>
      <c r="AJ75" s="321">
        <f t="shared" si="80"/>
        <v>321.74800000000005</v>
      </c>
      <c r="AK75" s="311">
        <f>6.8</f>
        <v>6.8</v>
      </c>
      <c r="AL75" s="311"/>
      <c r="AM75" s="311"/>
      <c r="AN75" s="321"/>
      <c r="AO75" s="321"/>
      <c r="AP75" s="321"/>
      <c r="AQ75" s="612">
        <f t="shared" ref="AQ75:AQ125" si="87">IF(H75="","",50*V75+83*Z75+26*AB75+44*AA75-59*W75-13*P75-28*AZ75)</f>
        <v>-211.68000000000004</v>
      </c>
      <c r="AR75" s="847">
        <f t="shared" si="81"/>
        <v>1226.644</v>
      </c>
      <c r="AS75" s="321">
        <f>AX75*K75+AY75*AT75-AF75-AG75</f>
        <v>282.34091999999998</v>
      </c>
      <c r="AT75" s="321">
        <f t="shared" si="82"/>
        <v>321.74799999999999</v>
      </c>
      <c r="AU75" s="852">
        <v>0.85</v>
      </c>
      <c r="AV75" s="852">
        <v>0.85</v>
      </c>
      <c r="AW75" s="852">
        <v>0.25</v>
      </c>
      <c r="AX75" s="852">
        <v>0.12</v>
      </c>
      <c r="AY75" s="852">
        <v>0.91</v>
      </c>
      <c r="AZ75" s="303">
        <v>2.1</v>
      </c>
      <c r="BA75" s="321">
        <f>229*H75/1000</f>
        <v>201.52</v>
      </c>
      <c r="BB75" s="321">
        <f>560*H75/1000</f>
        <v>492.8</v>
      </c>
      <c r="BC75" s="381">
        <f t="shared" si="83"/>
        <v>-1.99491699712</v>
      </c>
      <c r="BD75" s="277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7"/>
      <c r="BW75" s="277"/>
      <c r="BX75" s="277"/>
      <c r="BY75" s="277"/>
      <c r="BZ75" s="277"/>
      <c r="CA75" s="277"/>
      <c r="CB75" s="277"/>
      <c r="CC75" s="277"/>
      <c r="CD75" s="277"/>
      <c r="CE75" s="277"/>
      <c r="CF75" s="277"/>
      <c r="CG75" s="277"/>
      <c r="CH75" s="277"/>
      <c r="CI75" s="277"/>
      <c r="CJ75" s="277"/>
      <c r="CK75" s="277"/>
      <c r="CL75" s="277"/>
      <c r="CM75" s="277"/>
      <c r="CN75" s="277"/>
      <c r="CO75" s="277"/>
      <c r="CP75" s="277"/>
      <c r="CQ75" s="277"/>
      <c r="CR75" s="277"/>
      <c r="CS75" s="277"/>
      <c r="CT75" s="277"/>
      <c r="CU75" s="277"/>
      <c r="CV75" s="277"/>
      <c r="CW75" s="277"/>
      <c r="CX75" s="277"/>
      <c r="CY75" s="277"/>
      <c r="CZ75" s="277"/>
      <c r="DA75" s="277"/>
      <c r="DB75" s="277"/>
      <c r="DC75" s="277"/>
      <c r="DD75" s="277"/>
      <c r="DE75" s="277"/>
      <c r="DF75" s="277"/>
      <c r="DG75" s="277"/>
      <c r="DH75" s="277"/>
      <c r="DI75" s="277"/>
      <c r="DJ75" s="277"/>
      <c r="DK75" s="277"/>
      <c r="DL75" s="277"/>
      <c r="DM75" s="277"/>
      <c r="DN75" s="277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  <c r="EJ75" s="277"/>
      <c r="EK75" s="277"/>
      <c r="EL75" s="277"/>
      <c r="EM75" s="277"/>
    </row>
    <row r="76" spans="1:143" s="3" customFormat="1" ht="12.5" customHeight="1">
      <c r="A76" s="897" t="str">
        <f t="shared" si="52"/>
        <v>Bierhefe frisch (inaktiviert) 5% RP DLG 2014</v>
      </c>
      <c r="B76" s="298">
        <f>IF(D76=""," ",COUNTA($D$8:D76))</f>
        <v>67</v>
      </c>
      <c r="C76" s="327"/>
      <c r="D76" s="479" t="s">
        <v>988</v>
      </c>
      <c r="E76" s="617">
        <f t="shared" si="0"/>
        <v>5</v>
      </c>
      <c r="F76" s="299" t="s">
        <v>969</v>
      </c>
      <c r="G76" s="300"/>
      <c r="H76" s="1100">
        <v>100</v>
      </c>
      <c r="I76" s="275">
        <f>525*H76/1000</f>
        <v>52.5</v>
      </c>
      <c r="J76" s="275">
        <f>I76*0.85</f>
        <v>44.625</v>
      </c>
      <c r="K76" s="275">
        <f>17*H76/1000</f>
        <v>1.7</v>
      </c>
      <c r="L76" s="381">
        <f>I76*0.0205*AV76+0.0398*AW76*AE76+0.0173*AF76+0.016*$AG76+0.0147*AI76</f>
        <v>1.4284900000000003</v>
      </c>
      <c r="M76" s="322">
        <f t="shared" si="84"/>
        <v>1.7021726000000004</v>
      </c>
      <c r="N76" s="274">
        <f>35/1000*H76</f>
        <v>3.5000000000000004</v>
      </c>
      <c r="O76" s="324">
        <f>N76*0.88</f>
        <v>3.0800000000000005</v>
      </c>
      <c r="P76" s="274">
        <f>(0.8+0.5)/1000*H76</f>
        <v>0.13</v>
      </c>
      <c r="Q76" s="324">
        <f>P76*(6*0.82+3.8*0.69)/9.8</f>
        <v>0.1000469387755102</v>
      </c>
      <c r="R76" s="274">
        <f>25*H76/1000</f>
        <v>2.5</v>
      </c>
      <c r="S76" s="324">
        <f>R76*0.83</f>
        <v>2.0749999999999997</v>
      </c>
      <c r="T76" s="274">
        <f>6.15*H76/1000</f>
        <v>0.61499999999999999</v>
      </c>
      <c r="U76" s="324">
        <f>T76*0.85</f>
        <v>0.52274999999999994</v>
      </c>
      <c r="V76" s="274">
        <f>1.8*H76/1000</f>
        <v>0.18</v>
      </c>
      <c r="W76" s="274">
        <f>4.5*H76/1000</f>
        <v>0.45</v>
      </c>
      <c r="X76" s="301">
        <f>W76*0.5</f>
        <v>0.22500000000000001</v>
      </c>
      <c r="Y76" s="301">
        <f>W76*0.65</f>
        <v>0.29250000000000004</v>
      </c>
      <c r="Z76" s="274">
        <f>1.8*H76/1000</f>
        <v>0.18</v>
      </c>
      <c r="AA76" s="303">
        <f>0.2605*H76/1000</f>
        <v>2.605E-2</v>
      </c>
      <c r="AB76" s="276">
        <f>25.2*H76/1000</f>
        <v>2.52</v>
      </c>
      <c r="AC76" s="311">
        <f>8*H76/1000</f>
        <v>0.8</v>
      </c>
      <c r="AD76" s="311">
        <f>AC76*0.85</f>
        <v>0.68</v>
      </c>
      <c r="AE76" s="321">
        <v>3</v>
      </c>
      <c r="AF76" s="321">
        <f>0*$H76/1000</f>
        <v>0</v>
      </c>
      <c r="AG76" s="321">
        <f>10*$H76/1000</f>
        <v>1</v>
      </c>
      <c r="AH76" s="321">
        <v>8</v>
      </c>
      <c r="AI76" s="321">
        <f t="shared" si="79"/>
        <v>31.825000000000003</v>
      </c>
      <c r="AJ76" s="321">
        <f t="shared" si="80"/>
        <v>34.799999999999997</v>
      </c>
      <c r="AK76" s="311">
        <f>6.8*H76/900</f>
        <v>0.75555555555555554</v>
      </c>
      <c r="AL76" s="311"/>
      <c r="AM76" s="311"/>
      <c r="AN76" s="321"/>
      <c r="AO76" s="321"/>
      <c r="AP76" s="321"/>
      <c r="AQ76" s="612">
        <f t="shared" si="87"/>
        <v>55.832866666666661</v>
      </c>
      <c r="AR76" s="847">
        <f t="shared" si="81"/>
        <v>143.6232</v>
      </c>
      <c r="AS76" s="321">
        <f>AX76*K76+AY76*AT76-AF76-AG76</f>
        <v>30.872</v>
      </c>
      <c r="AT76" s="321">
        <f t="shared" si="82"/>
        <v>34.799999999999997</v>
      </c>
      <c r="AU76" s="852">
        <v>0.85</v>
      </c>
      <c r="AV76" s="852">
        <v>0.85</v>
      </c>
      <c r="AW76" s="852">
        <v>0.25</v>
      </c>
      <c r="AX76" s="852">
        <v>0.12</v>
      </c>
      <c r="AY76" s="852">
        <v>0.91</v>
      </c>
      <c r="AZ76" s="303">
        <f>2.1/900*H76</f>
        <v>0.23333333333333336</v>
      </c>
      <c r="BA76" s="321">
        <f>229*H76/1000</f>
        <v>22.9</v>
      </c>
      <c r="BB76" s="321">
        <f>560*H76/1000</f>
        <v>56</v>
      </c>
      <c r="BC76" s="381">
        <f t="shared" si="83"/>
        <v>-0.13211400199999968</v>
      </c>
      <c r="BD76" s="277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277"/>
      <c r="BY76" s="277"/>
      <c r="BZ76" s="277"/>
      <c r="CA76" s="277"/>
      <c r="CB76" s="277"/>
      <c r="CC76" s="277"/>
      <c r="CD76" s="277"/>
      <c r="CE76" s="277"/>
      <c r="CF76" s="277"/>
      <c r="CG76" s="277"/>
      <c r="CH76" s="277"/>
      <c r="CI76" s="277"/>
      <c r="CJ76" s="277"/>
      <c r="CK76" s="277"/>
      <c r="CL76" s="277"/>
      <c r="CM76" s="277"/>
      <c r="CN76" s="277"/>
      <c r="CO76" s="277"/>
      <c r="CP76" s="277"/>
      <c r="CQ76" s="277"/>
      <c r="CR76" s="277"/>
      <c r="CS76" s="277"/>
      <c r="CT76" s="277"/>
      <c r="CU76" s="277"/>
      <c r="CV76" s="277"/>
      <c r="CW76" s="277"/>
      <c r="CX76" s="277"/>
      <c r="CY76" s="277"/>
      <c r="CZ76" s="277"/>
      <c r="DA76" s="277"/>
      <c r="DB76" s="277"/>
      <c r="DC76" s="277"/>
      <c r="DD76" s="277"/>
      <c r="DE76" s="277"/>
      <c r="DF76" s="277"/>
      <c r="DG76" s="277"/>
      <c r="DH76" s="277"/>
      <c r="DI76" s="277"/>
      <c r="DJ76" s="277"/>
      <c r="DK76" s="277"/>
      <c r="DL76" s="277"/>
      <c r="DM76" s="277"/>
      <c r="DN76" s="277"/>
      <c r="DO76" s="277"/>
      <c r="DP76" s="277"/>
      <c r="DQ76" s="277"/>
      <c r="DR76" s="277"/>
      <c r="DS76" s="277"/>
      <c r="DT76" s="277"/>
      <c r="DU76" s="277"/>
      <c r="DV76" s="277"/>
      <c r="DW76" s="277"/>
      <c r="DX76" s="277"/>
      <c r="DY76" s="277"/>
      <c r="DZ76" s="277"/>
      <c r="EA76" s="277"/>
      <c r="EB76" s="277"/>
      <c r="EC76" s="277"/>
      <c r="ED76" s="277"/>
      <c r="EE76" s="277"/>
      <c r="EF76" s="277"/>
      <c r="EG76" s="277"/>
      <c r="EH76" s="277"/>
      <c r="EI76" s="277"/>
      <c r="EJ76" s="277"/>
      <c r="EK76" s="277"/>
      <c r="EL76" s="277"/>
      <c r="EM76" s="277"/>
    </row>
    <row r="77" spans="1:143" s="3" customFormat="1" ht="12.5" customHeight="1">
      <c r="A77" s="897" t="str">
        <f>IF(E77=" ",D77&amp;" "&amp;F77,D77&amp;" "&amp;E77&amp;"% RP "&amp;F77)</f>
        <v xml:space="preserve">eigene Bierhefe </v>
      </c>
      <c r="B77" s="298">
        <f>IF(D77=""," ",COUNTA($D$8:D77))</f>
        <v>68</v>
      </c>
      <c r="C77" s="327"/>
      <c r="D77" s="480" t="s">
        <v>1008</v>
      </c>
      <c r="E77" s="619" t="str">
        <f>IF(I77=0," ",ROUND(I77/10,0))</f>
        <v xml:space="preserve"> </v>
      </c>
      <c r="F77" s="306" t="str">
        <f>IF(I77=277,"Ø 2007","")</f>
        <v/>
      </c>
      <c r="G77" s="305"/>
      <c r="H77" s="91"/>
      <c r="I77" s="91"/>
      <c r="J77" s="306" t="str">
        <f>IF(I77=0," ",I77*0.85)</f>
        <v xml:space="preserve"> </v>
      </c>
      <c r="K77" s="91"/>
      <c r="L77" s="988" t="str">
        <f>IF($I77=""," ",I77*0.0205*AV77+0.0398*AW77*AE77+0.0173*AF77+0.016*$AG77+0.0147*AI77)</f>
        <v xml:space="preserve"> </v>
      </c>
      <c r="M77" s="988" t="str">
        <f>IF(I77=""," ",$I77*0.021503+0.032497*$AE77+0.016309*$AF77+0.014701*$AJ77-0.021071*$K77)</f>
        <v xml:space="preserve"> </v>
      </c>
      <c r="N77" s="307" t="str">
        <f>IF(I77=0," ",(I77/H77*880*0.0694-1.58)/880*H77)</f>
        <v xml:space="preserve"> </v>
      </c>
      <c r="O77" s="308" t="str">
        <f>IF(N77=" "," ",N77*0.82)</f>
        <v xml:space="preserve"> </v>
      </c>
      <c r="P77" s="307" t="str">
        <f>IF(I77="","",P74/H74*H77)</f>
        <v/>
      </c>
      <c r="Q77" s="308" t="str">
        <f>IF(N77=" "," ",P77*(2*0.61+3.4*0.68)/5.4)</f>
        <v xml:space="preserve"> </v>
      </c>
      <c r="R77" s="307" t="str">
        <f>IF(N77=" "," ",(I77/H77*880*0.0567-4.46)/880*H77)</f>
        <v xml:space="preserve"> </v>
      </c>
      <c r="S77" s="308" t="str">
        <f>IF(N77=" "," ",R77*0.75)</f>
        <v xml:space="preserve"> </v>
      </c>
      <c r="T77" s="307" t="str">
        <f>IF(I77="","",T75/H74*H77)</f>
        <v/>
      </c>
      <c r="U77" s="308" t="str">
        <f>IF(N77=" "," ",T77*0.71)</f>
        <v xml:space="preserve"> </v>
      </c>
      <c r="V77" s="307" t="str">
        <f>IF($I77="","",V75/H75*H77)</f>
        <v/>
      </c>
      <c r="W77" s="307" t="str">
        <f>IF($I77="","",W75/H75*H77)</f>
        <v/>
      </c>
      <c r="X77" s="308" t="str">
        <f>IF($I77="","",X75/H75*H77)</f>
        <v/>
      </c>
      <c r="Y77" s="308" t="str">
        <f>IF($I77="","",Y75/H75*H77)</f>
        <v/>
      </c>
      <c r="Z77" s="307" t="str">
        <f>IF($I77="","",Z75/L75*L77)</f>
        <v/>
      </c>
      <c r="AA77" s="309" t="str">
        <f>IF($I77="","",AA75/M75*M77)</f>
        <v/>
      </c>
      <c r="AB77" s="310" t="str">
        <f>IF($I77="","",AB75/H75*H77)</f>
        <v/>
      </c>
      <c r="AC77" s="307" t="str">
        <f>IF($I77=""," ",($I77/H77*880*0.0183-1.32)/880*H77)</f>
        <v xml:space="preserve"> </v>
      </c>
      <c r="AD77" s="307" t="str">
        <f>IF(AC77=" "," ",AC77*0.82)</f>
        <v xml:space="preserve"> </v>
      </c>
      <c r="AE77" s="92"/>
      <c r="AF77" s="92"/>
      <c r="AG77" s="92"/>
      <c r="AH77" s="92"/>
      <c r="AI77" s="306" t="str">
        <f>IF($I77=""," ",(H77-AH77)*AU77-I77*AV77-AE77*AW77-AF77-AG77)</f>
        <v xml:space="preserve"> </v>
      </c>
      <c r="AJ77" s="306" t="str">
        <f t="shared" si="80"/>
        <v xml:space="preserve"> </v>
      </c>
      <c r="AK77" s="307" t="str">
        <f t="shared" ref="AK77:AP77" si="88">IF($I77=0," ",AK76*$H77/$H76)</f>
        <v xml:space="preserve"> </v>
      </c>
      <c r="AL77" s="307" t="str">
        <f t="shared" si="88"/>
        <v xml:space="preserve"> </v>
      </c>
      <c r="AM77" s="307" t="str">
        <f t="shared" si="88"/>
        <v xml:space="preserve"> </v>
      </c>
      <c r="AN77" s="306" t="str">
        <f t="shared" si="88"/>
        <v xml:space="preserve"> </v>
      </c>
      <c r="AO77" s="306" t="str">
        <f t="shared" si="88"/>
        <v xml:space="preserve"> </v>
      </c>
      <c r="AP77" s="306" t="str">
        <f t="shared" si="88"/>
        <v xml:space="preserve"> </v>
      </c>
      <c r="AQ77" s="306" t="str">
        <f t="shared" si="87"/>
        <v/>
      </c>
      <c r="AR77" s="306" t="str">
        <f>IF(H77="","",V77/1000*20140+Z77/1000*48600+1100/440*I77)</f>
        <v/>
      </c>
      <c r="AS77" s="306" t="str">
        <f>IF($I77=0," ",AX77*K77+AY77*AT77-AF77-AG77)</f>
        <v xml:space="preserve"> </v>
      </c>
      <c r="AT77" s="92" t="str">
        <f t="shared" si="82"/>
        <v xml:space="preserve"> </v>
      </c>
      <c r="AU77" s="853" t="str">
        <f>IF($I77=0," ",AU76)</f>
        <v xml:space="preserve"> </v>
      </c>
      <c r="AV77" s="853" t="str">
        <f>IF($I77=0," ",AV76)</f>
        <v xml:space="preserve"> </v>
      </c>
      <c r="AW77" s="853" t="str">
        <f>IF($I77=0," ",AW76)</f>
        <v xml:space="preserve"> </v>
      </c>
      <c r="AX77" s="853" t="str">
        <f>IF($I77=0," ",AX76)</f>
        <v xml:space="preserve"> </v>
      </c>
      <c r="AY77" s="853" t="str">
        <f>IF($I77=0," ",AY76)</f>
        <v xml:space="preserve"> </v>
      </c>
      <c r="AZ77" s="309" t="str">
        <f>IF($H$77="","",AZ75/$H$75*$K$77/$K$75*$H$77)</f>
        <v/>
      </c>
      <c r="BA77" s="92" t="str">
        <f>IF($H$77="","",BA75/$H$75*$K$77/$K$75*$H$77)</f>
        <v/>
      </c>
      <c r="BB77" s="92" t="str">
        <f>IF($H$77="","",BB75/$H$75*$K$77/$K$75*$H$77)</f>
        <v/>
      </c>
      <c r="BC77" s="988" t="str">
        <f t="shared" si="83"/>
        <v/>
      </c>
      <c r="BD77" s="277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7"/>
      <c r="BW77" s="277"/>
      <c r="BX77" s="277"/>
      <c r="BY77" s="277"/>
      <c r="BZ77" s="277"/>
      <c r="CA77" s="277"/>
      <c r="CB77" s="277"/>
      <c r="CC77" s="277"/>
      <c r="CD77" s="277"/>
      <c r="CE77" s="277"/>
      <c r="CF77" s="277"/>
      <c r="CG77" s="277"/>
      <c r="CH77" s="277"/>
      <c r="CI77" s="277"/>
      <c r="CJ77" s="277"/>
      <c r="CK77" s="277"/>
      <c r="CL77" s="277"/>
      <c r="CM77" s="277"/>
      <c r="CN77" s="277"/>
      <c r="CO77" s="277"/>
      <c r="CP77" s="277"/>
      <c r="CQ77" s="277"/>
      <c r="CR77" s="277"/>
      <c r="CS77" s="277"/>
      <c r="CT77" s="277"/>
      <c r="CU77" s="277"/>
      <c r="CV77" s="277"/>
      <c r="CW77" s="277"/>
      <c r="CX77" s="277"/>
      <c r="CY77" s="277"/>
      <c r="CZ77" s="277"/>
      <c r="DA77" s="277"/>
      <c r="DB77" s="277"/>
      <c r="DC77" s="277"/>
      <c r="DD77" s="277"/>
      <c r="DE77" s="277"/>
      <c r="DF77" s="277"/>
      <c r="DG77" s="277"/>
      <c r="DH77" s="277"/>
      <c r="DI77" s="277"/>
      <c r="DJ77" s="277"/>
      <c r="DK77" s="277"/>
      <c r="DL77" s="277"/>
      <c r="DM77" s="277"/>
      <c r="DN77" s="277"/>
      <c r="DO77" s="277"/>
      <c r="DP77" s="277"/>
      <c r="DQ77" s="277"/>
      <c r="DR77" s="277"/>
      <c r="DS77" s="277"/>
      <c r="DT77" s="277"/>
      <c r="DU77" s="277"/>
      <c r="DV77" s="277"/>
      <c r="DW77" s="277"/>
      <c r="DX77" s="277"/>
      <c r="DY77" s="277"/>
      <c r="DZ77" s="277"/>
      <c r="EA77" s="277"/>
      <c r="EB77" s="277"/>
      <c r="EC77" s="277"/>
      <c r="ED77" s="277"/>
      <c r="EE77" s="277"/>
      <c r="EF77" s="277"/>
      <c r="EG77" s="277"/>
      <c r="EH77" s="277"/>
      <c r="EI77" s="277"/>
      <c r="EJ77" s="277"/>
      <c r="EK77" s="277"/>
      <c r="EL77" s="277"/>
      <c r="EM77" s="277"/>
    </row>
    <row r="78" spans="1:143" s="4" customFormat="1" ht="12.5" customHeight="1">
      <c r="A78" s="897" t="str">
        <f t="shared" si="52"/>
        <v>Erbsen  22% RP DLG 2014</v>
      </c>
      <c r="B78" s="298">
        <f>IF(D78=""," ",COUNTA($D$8:D78))</f>
        <v>69</v>
      </c>
      <c r="C78" s="327"/>
      <c r="D78" s="887" t="s">
        <v>56</v>
      </c>
      <c r="E78" s="888">
        <f t="shared" si="0"/>
        <v>22</v>
      </c>
      <c r="F78" s="889" t="s">
        <v>969</v>
      </c>
      <c r="G78" s="890" t="s">
        <v>58</v>
      </c>
      <c r="H78" s="884">
        <v>880</v>
      </c>
      <c r="I78" s="884">
        <v>220</v>
      </c>
      <c r="J78" s="884">
        <f>I78*0.79</f>
        <v>173.8</v>
      </c>
      <c r="K78" s="884">
        <v>57</v>
      </c>
      <c r="L78" s="317">
        <f>I78*0.0205*AV78+0.0398*AW78*AE78+0.0173*AF78+0.016*$AG78+0.0147*AI78</f>
        <v>13.397632520000002</v>
      </c>
      <c r="M78" s="882">
        <f t="shared" si="84"/>
        <v>12.819143440000005</v>
      </c>
      <c r="N78" s="883">
        <f>IF(I78=0," ",I78*0.0533+4.05)</f>
        <v>15.776</v>
      </c>
      <c r="O78" s="891">
        <f>IF(N78=" "," ",N78*0.84)</f>
        <v>13.25184</v>
      </c>
      <c r="P78" s="883">
        <f>IF(N78=" "," ",I78*0.0114+2.14)</f>
        <v>4.6479999999999997</v>
      </c>
      <c r="Q78" s="891">
        <f>IF(N78=" "," ",P78*(2.1*0.73+3.2*0.66)/5.3)</f>
        <v>3.1965962264150942</v>
      </c>
      <c r="R78" s="883">
        <f>IF(N78=" "," ",I78*0.0249+2.6)</f>
        <v>8.0779999999999994</v>
      </c>
      <c r="S78" s="891">
        <f>IF(N78=" "," ",R78*0.75)</f>
        <v>6.0584999999999996</v>
      </c>
      <c r="T78" s="883">
        <f>IF(N78=" "," ",I78*0.0064+0.57)</f>
        <v>1.9780000000000002</v>
      </c>
      <c r="U78" s="891">
        <f>IF(N78=" "," ",T78*0.7)</f>
        <v>1.3846000000000001</v>
      </c>
      <c r="V78" s="883">
        <v>0.9</v>
      </c>
      <c r="W78" s="883">
        <v>4.0999999999999996</v>
      </c>
      <c r="X78" s="891">
        <f>W78*0.5</f>
        <v>2.0499999999999998</v>
      </c>
      <c r="Y78" s="891">
        <f>W78*0.65</f>
        <v>2.665</v>
      </c>
      <c r="Z78" s="883">
        <v>1.4</v>
      </c>
      <c r="AA78" s="882">
        <v>0.19</v>
      </c>
      <c r="AB78" s="892">
        <v>10</v>
      </c>
      <c r="AC78" s="883">
        <f>IF($I78=""," ",$I78*0.0048+0.91)</f>
        <v>1.9659999999999997</v>
      </c>
      <c r="AD78" s="883">
        <f>AC78*0.73</f>
        <v>1.4351799999999997</v>
      </c>
      <c r="AE78" s="884">
        <v>13</v>
      </c>
      <c r="AF78" s="884">
        <v>418</v>
      </c>
      <c r="AG78" s="884">
        <v>53</v>
      </c>
      <c r="AH78" s="884">
        <f>37*H78/1000</f>
        <v>32.56</v>
      </c>
      <c r="AI78" s="314">
        <f t="shared" si="79"/>
        <v>103.5716000000001</v>
      </c>
      <c r="AJ78" s="884">
        <f t="shared" si="80"/>
        <v>139.44000000000005</v>
      </c>
      <c r="AK78" s="883">
        <v>8</v>
      </c>
      <c r="AL78" s="883"/>
      <c r="AM78" s="883"/>
      <c r="AN78" s="884"/>
      <c r="AO78" s="884"/>
      <c r="AP78" s="884"/>
      <c r="AQ78" s="314">
        <f t="shared" si="87"/>
        <v>102.59600000000003</v>
      </c>
      <c r="AR78" s="314">
        <f t="shared" si="81"/>
        <v>636.16600000000005</v>
      </c>
      <c r="AS78" s="884">
        <f>AX78*K78+AY78*AT78-AF78-AG78</f>
        <v>93.908000000000015</v>
      </c>
      <c r="AT78" s="314">
        <f t="shared" si="82"/>
        <v>557.44000000000005</v>
      </c>
      <c r="AU78" s="886">
        <v>0.89</v>
      </c>
      <c r="AV78" s="886">
        <v>0.79</v>
      </c>
      <c r="AW78" s="886">
        <v>0.45</v>
      </c>
      <c r="AX78" s="886">
        <v>0.62</v>
      </c>
      <c r="AY78" s="886">
        <v>0.95</v>
      </c>
      <c r="AZ78" s="882">
        <f>1*H78/1000</f>
        <v>0.88</v>
      </c>
      <c r="BA78" s="884">
        <v>95</v>
      </c>
      <c r="BB78" s="884">
        <v>350</v>
      </c>
      <c r="BC78" s="317">
        <f t="shared" si="83"/>
        <v>7.8459747112000002</v>
      </c>
      <c r="BD78" s="277"/>
      <c r="BE78" s="277"/>
      <c r="BF78" s="277"/>
      <c r="BG78" s="277"/>
      <c r="BH78" s="277"/>
      <c r="BI78" s="277"/>
      <c r="BJ78" s="277"/>
      <c r="BK78" s="277"/>
      <c r="BL78" s="277"/>
      <c r="BM78" s="277"/>
      <c r="BN78" s="277"/>
      <c r="BO78" s="277"/>
      <c r="BP78" s="277"/>
      <c r="BQ78" s="277"/>
      <c r="BR78" s="277"/>
      <c r="BS78" s="277"/>
      <c r="BT78" s="277"/>
      <c r="BU78" s="277"/>
      <c r="BV78" s="277"/>
      <c r="BW78" s="277"/>
      <c r="BX78" s="277"/>
      <c r="BY78" s="277"/>
      <c r="BZ78" s="277"/>
      <c r="CA78" s="277"/>
      <c r="CB78" s="277"/>
      <c r="CC78" s="277"/>
      <c r="CD78" s="277"/>
      <c r="CE78" s="277"/>
      <c r="CF78" s="277"/>
      <c r="CG78" s="277"/>
      <c r="CH78" s="277"/>
      <c r="CI78" s="277"/>
      <c r="CJ78" s="277"/>
      <c r="CK78" s="277"/>
      <c r="CL78" s="277"/>
      <c r="CM78" s="277"/>
      <c r="CN78" s="277"/>
      <c r="CO78" s="277"/>
      <c r="CP78" s="277"/>
      <c r="CQ78" s="277"/>
      <c r="CR78" s="277"/>
      <c r="CS78" s="277"/>
      <c r="CT78" s="277"/>
      <c r="CU78" s="277"/>
      <c r="CV78" s="277"/>
      <c r="CW78" s="277"/>
      <c r="CX78" s="277"/>
      <c r="CY78" s="277"/>
      <c r="CZ78" s="277"/>
      <c r="DA78" s="277"/>
      <c r="DB78" s="277"/>
      <c r="DC78" s="277"/>
      <c r="DD78" s="277"/>
      <c r="DE78" s="277"/>
      <c r="DF78" s="277"/>
      <c r="DG78" s="277"/>
      <c r="DH78" s="277"/>
      <c r="DI78" s="277"/>
      <c r="DJ78" s="277"/>
      <c r="DK78" s="277"/>
      <c r="DL78" s="277"/>
      <c r="DM78" s="277"/>
      <c r="DN78" s="277"/>
      <c r="DO78" s="277"/>
      <c r="DP78" s="277"/>
      <c r="DQ78" s="277"/>
      <c r="DR78" s="277"/>
      <c r="DS78" s="277"/>
      <c r="DT78" s="277"/>
      <c r="DU78" s="277"/>
      <c r="DV78" s="277"/>
      <c r="DW78" s="277"/>
      <c r="DX78" s="277"/>
      <c r="DY78" s="277"/>
      <c r="DZ78" s="277"/>
      <c r="EA78" s="277"/>
      <c r="EB78" s="277"/>
      <c r="EC78" s="277"/>
      <c r="ED78" s="277"/>
      <c r="EE78" s="277"/>
      <c r="EF78" s="277"/>
      <c r="EG78" s="277"/>
      <c r="EH78" s="277"/>
      <c r="EI78" s="277"/>
      <c r="EJ78" s="277"/>
      <c r="EK78" s="277"/>
      <c r="EL78" s="277"/>
      <c r="EM78" s="277"/>
    </row>
    <row r="79" spans="1:143" s="3" customFormat="1" ht="12.5" customHeight="1">
      <c r="A79" s="897" t="str">
        <f t="shared" si="52"/>
        <v>eigene Erbsen 21% RP Ø 2016</v>
      </c>
      <c r="B79" s="298">
        <f>IF(D79=""," ",COUNTA($D$8:D79))</f>
        <v>70</v>
      </c>
      <c r="C79" s="327"/>
      <c r="D79" s="480" t="s">
        <v>293</v>
      </c>
      <c r="E79" s="619">
        <f t="shared" si="0"/>
        <v>21</v>
      </c>
      <c r="F79" s="306" t="str">
        <f>IF(I79=210.9,"Ø 2016","")</f>
        <v>Ø 2016</v>
      </c>
      <c r="G79" s="305"/>
      <c r="H79" s="91">
        <v>880</v>
      </c>
      <c r="I79" s="91">
        <v>210.9</v>
      </c>
      <c r="J79" s="306">
        <f>IF(I79=0," ",I79*0.79)</f>
        <v>166.61100000000002</v>
      </c>
      <c r="K79" s="91">
        <v>58.3</v>
      </c>
      <c r="L79" s="988">
        <f>IF($I79=""," ",I79*0.0205*AV79+0.0398*AW79*AE79+0.0173*AF79+0.016*$AG79+0.0147*AI79)</f>
        <v>13.532380100000001</v>
      </c>
      <c r="M79" s="988">
        <f t="shared" si="84"/>
        <v>12.877841800000004</v>
      </c>
      <c r="N79" s="307">
        <f>IF(I79=0," ",(I79/H79*880*0.0533+4.05)/880*H79)</f>
        <v>15.290970000000003</v>
      </c>
      <c r="O79" s="308">
        <f>IF(N79=" "," ",N79*0.84)</f>
        <v>12.844414800000003</v>
      </c>
      <c r="P79" s="307">
        <f>IF(N79=" "," ",(I79/H79*880*0.0114+2.14)/880*H79)</f>
        <v>4.5442600000000004</v>
      </c>
      <c r="Q79" s="308">
        <f>IF(N79=" "," ",P79*(2.1*0.73+3.2*0.66)/5.3)</f>
        <v>3.1252505094339624</v>
      </c>
      <c r="R79" s="307">
        <f>IF(N79=" "," ",(I79/H79*880*0.0249+2.6)/880*H79)</f>
        <v>7.8514099999999987</v>
      </c>
      <c r="S79" s="308">
        <f>IF(N79=" "," ",R79*0.75)</f>
        <v>5.8885574999999992</v>
      </c>
      <c r="T79" s="307">
        <f>IF(N79=" "," ",(I79/H79*880*0.0064+0.57)/880*H79)</f>
        <v>1.9197600000000001</v>
      </c>
      <c r="U79" s="308">
        <f>IF(N79=" "," ",T79*0.7)</f>
        <v>1.3438319999999999</v>
      </c>
      <c r="V79" s="307">
        <f t="shared" ref="V79:AB79" si="89">IF($I79=0," ",V78*$H79/$H78)</f>
        <v>0.9</v>
      </c>
      <c r="W79" s="307">
        <f t="shared" si="89"/>
        <v>4.0999999999999996</v>
      </c>
      <c r="X79" s="308">
        <f t="shared" si="89"/>
        <v>2.0499999999999998</v>
      </c>
      <c r="Y79" s="307">
        <f t="shared" si="89"/>
        <v>2.6649999999999996</v>
      </c>
      <c r="Z79" s="307">
        <f t="shared" si="89"/>
        <v>1.4</v>
      </c>
      <c r="AA79" s="309">
        <f t="shared" si="89"/>
        <v>0.18999999999999997</v>
      </c>
      <c r="AB79" s="310">
        <f t="shared" si="89"/>
        <v>10</v>
      </c>
      <c r="AC79" s="307">
        <f>IF($I79=""," ",($I79/H79*880*0.0048+0.91)/880*H79)</f>
        <v>1.92232</v>
      </c>
      <c r="AD79" s="307">
        <f>IF(AC79=" "," ",AC79*0.73)</f>
        <v>1.4032936</v>
      </c>
      <c r="AE79" s="92">
        <v>14.5</v>
      </c>
      <c r="AF79" s="92">
        <v>449</v>
      </c>
      <c r="AG79" s="92">
        <v>51.7</v>
      </c>
      <c r="AH79" s="92">
        <v>26.4</v>
      </c>
      <c r="AI79" s="306">
        <f t="shared" si="79"/>
        <v>85.868000000000094</v>
      </c>
      <c r="AJ79" s="306">
        <f t="shared" si="80"/>
        <v>120.90000000000009</v>
      </c>
      <c r="AK79" s="307">
        <f t="shared" ref="AK79:AP79" si="90">IF($I79=0," ",AK78*$H79/$H78)</f>
        <v>8</v>
      </c>
      <c r="AL79" s="307">
        <f t="shared" si="90"/>
        <v>0</v>
      </c>
      <c r="AM79" s="307">
        <f t="shared" si="90"/>
        <v>0</v>
      </c>
      <c r="AN79" s="306">
        <f t="shared" si="90"/>
        <v>0</v>
      </c>
      <c r="AO79" s="306">
        <f t="shared" si="90"/>
        <v>0</v>
      </c>
      <c r="AP79" s="306">
        <f t="shared" si="90"/>
        <v>0</v>
      </c>
      <c r="AQ79" s="306">
        <f t="shared" si="87"/>
        <v>103.94462000000003</v>
      </c>
      <c r="AR79" s="306">
        <f t="shared" si="81"/>
        <v>613.41600000000005</v>
      </c>
      <c r="AS79" s="306">
        <f>IF($I79=0," ",AX79*K79+AY79*AT79-AF79-AG79)</f>
        <v>76.851000000000042</v>
      </c>
      <c r="AT79" s="92">
        <f t="shared" si="82"/>
        <v>569.90000000000009</v>
      </c>
      <c r="AU79" s="853">
        <f>IF($I79=0," ",AU78)</f>
        <v>0.89</v>
      </c>
      <c r="AV79" s="853">
        <f>IF($I79=0," ",AV78)</f>
        <v>0.79</v>
      </c>
      <c r="AW79" s="853">
        <f>IF($I79=0," ",AW78)</f>
        <v>0.45</v>
      </c>
      <c r="AX79" s="853">
        <f>IF($I79=0," ",AX78)</f>
        <v>0.62</v>
      </c>
      <c r="AY79" s="853">
        <f>IF($I79=0," ",AY78)</f>
        <v>0.95</v>
      </c>
      <c r="AZ79" s="309">
        <f>IF($I79=0," ",AZ78*$H79/$H78)</f>
        <v>0.88</v>
      </c>
      <c r="BA79" s="92">
        <f>IF($I79=0," ",$BA$78*$H79/$H$78*K79/$K$78)</f>
        <v>97.166666666666671</v>
      </c>
      <c r="BB79" s="92">
        <f>IF($I79=0," ",$BB$78*$H79/$H$78*K79/$K$78)</f>
        <v>357.98245614035091</v>
      </c>
      <c r="BC79" s="988">
        <f t="shared" si="83"/>
        <v>8.6378245140000018</v>
      </c>
      <c r="BD79" s="277"/>
      <c r="BE79" s="277"/>
      <c r="BF79" s="277"/>
      <c r="BG79" s="277"/>
      <c r="BH79" s="277"/>
      <c r="BI79" s="277"/>
      <c r="BJ79" s="277"/>
      <c r="BK79" s="277"/>
      <c r="BL79" s="277"/>
      <c r="BM79" s="277"/>
      <c r="BN79" s="277"/>
      <c r="BO79" s="277"/>
      <c r="BP79" s="277"/>
      <c r="BQ79" s="277"/>
      <c r="BR79" s="277"/>
      <c r="BS79" s="277"/>
      <c r="BT79" s="277"/>
      <c r="BU79" s="277"/>
      <c r="BV79" s="277"/>
      <c r="BW79" s="277"/>
      <c r="BX79" s="277"/>
      <c r="BY79" s="277"/>
      <c r="BZ79" s="277"/>
      <c r="CA79" s="277"/>
      <c r="CB79" s="277"/>
      <c r="CC79" s="277"/>
      <c r="CD79" s="277"/>
      <c r="CE79" s="277"/>
      <c r="CF79" s="277"/>
      <c r="CG79" s="277"/>
      <c r="CH79" s="277"/>
      <c r="CI79" s="277"/>
      <c r="CJ79" s="277"/>
      <c r="CK79" s="277"/>
      <c r="CL79" s="277"/>
      <c r="CM79" s="277"/>
      <c r="CN79" s="277"/>
      <c r="CO79" s="277"/>
      <c r="CP79" s="277"/>
      <c r="CQ79" s="277"/>
      <c r="CR79" s="277"/>
      <c r="CS79" s="277"/>
      <c r="CT79" s="277"/>
      <c r="CU79" s="277"/>
      <c r="CV79" s="277"/>
      <c r="CW79" s="277"/>
      <c r="CX79" s="277"/>
      <c r="CY79" s="277"/>
      <c r="CZ79" s="277"/>
      <c r="DA79" s="277"/>
      <c r="DB79" s="277"/>
      <c r="DC79" s="277"/>
      <c r="DD79" s="277"/>
      <c r="DE79" s="277"/>
      <c r="DF79" s="277"/>
      <c r="DG79" s="277"/>
      <c r="DH79" s="277"/>
      <c r="DI79" s="277"/>
      <c r="DJ79" s="277"/>
      <c r="DK79" s="277"/>
      <c r="DL79" s="277"/>
      <c r="DM79" s="277"/>
      <c r="DN79" s="277"/>
      <c r="DO79" s="277"/>
      <c r="DP79" s="277"/>
      <c r="DQ79" s="277"/>
      <c r="DR79" s="277"/>
      <c r="DS79" s="277"/>
      <c r="DT79" s="277"/>
      <c r="DU79" s="277"/>
      <c r="DV79" s="277"/>
      <c r="DW79" s="277"/>
      <c r="DX79" s="277"/>
      <c r="DY79" s="277"/>
      <c r="DZ79" s="277"/>
      <c r="EA79" s="277"/>
      <c r="EB79" s="277"/>
      <c r="EC79" s="277"/>
      <c r="ED79" s="277"/>
      <c r="EE79" s="277"/>
      <c r="EF79" s="277"/>
      <c r="EG79" s="277"/>
      <c r="EH79" s="277"/>
      <c r="EI79" s="277"/>
      <c r="EJ79" s="277"/>
      <c r="EK79" s="277"/>
      <c r="EL79" s="277"/>
      <c r="EM79" s="277"/>
    </row>
    <row r="80" spans="1:143" s="3" customFormat="1" ht="12.5" customHeight="1">
      <c r="A80" s="897" t="str">
        <f t="shared" si="52"/>
        <v xml:space="preserve">Erbsen  19% RP </v>
      </c>
      <c r="B80" s="298">
        <f>IF(D80=""," ",COUNTA($D$8:D80))</f>
        <v>71</v>
      </c>
      <c r="C80" s="327"/>
      <c r="D80" s="479" t="s">
        <v>56</v>
      </c>
      <c r="E80" s="617">
        <f t="shared" si="0"/>
        <v>19</v>
      </c>
      <c r="F80" s="299"/>
      <c r="G80" s="300" t="s">
        <v>59</v>
      </c>
      <c r="H80" s="275">
        <v>880</v>
      </c>
      <c r="I80" s="275">
        <v>191.8</v>
      </c>
      <c r="J80" s="321">
        <f>I80*0.85</f>
        <v>163.03</v>
      </c>
      <c r="K80" s="275">
        <v>58.9</v>
      </c>
      <c r="L80" s="381">
        <f>I80*0.0205*AV80+0.0398*AW80*AE80+0.0173*AF80+0.016*$AG80+0.0147*AI80</f>
        <v>13.4001073</v>
      </c>
      <c r="M80" s="322">
        <f t="shared" si="84"/>
        <v>12.681510100000002</v>
      </c>
      <c r="N80" s="311">
        <f>IF(I80=0," ",I80*0.0533+4.05)</f>
        <v>14.272940000000002</v>
      </c>
      <c r="O80" s="302">
        <f>IF(N80=" "," ",N80*0.84)</f>
        <v>11.989269600000002</v>
      </c>
      <c r="P80" s="311">
        <f>IF(N80=" "," ",I80*0.0114+2.14)</f>
        <v>4.3265200000000004</v>
      </c>
      <c r="Q80" s="302">
        <f>IF(N80=" "," ",P80*(2.1*0.73+3.2*0.66)/5.3)</f>
        <v>2.9755029056603779</v>
      </c>
      <c r="R80" s="311">
        <f>IF(N80=" "," ",I80*0.0249+2.6)</f>
        <v>7.3758200000000009</v>
      </c>
      <c r="S80" s="302">
        <f>IF(N80=" "," ",R80*0.75)</f>
        <v>5.5318650000000007</v>
      </c>
      <c r="T80" s="311">
        <f>IF(N80=" "," ",I80*0.0064+0.57)</f>
        <v>1.79752</v>
      </c>
      <c r="U80" s="302">
        <f>IF(N80=" "," ",T80*0.7)</f>
        <v>1.2582639999999998</v>
      </c>
      <c r="V80" s="274">
        <v>0.9</v>
      </c>
      <c r="W80" s="311">
        <v>4.0999999999999996</v>
      </c>
      <c r="X80" s="302">
        <v>1.8</v>
      </c>
      <c r="Y80" s="302">
        <f>W80*0.65</f>
        <v>2.665</v>
      </c>
      <c r="Z80" s="274">
        <v>1.2</v>
      </c>
      <c r="AA80" s="303">
        <v>0.19</v>
      </c>
      <c r="AB80" s="276">
        <v>10</v>
      </c>
      <c r="AC80" s="311">
        <f>IF($I80=""," ",$I80*0.0048+0.91)</f>
        <v>1.83064</v>
      </c>
      <c r="AD80" s="311">
        <f>AC80*0.73</f>
        <v>1.3363672</v>
      </c>
      <c r="AE80" s="321">
        <v>12.2</v>
      </c>
      <c r="AF80" s="321">
        <v>452.9</v>
      </c>
      <c r="AG80" s="321">
        <v>36.5</v>
      </c>
      <c r="AH80" s="321">
        <v>27.1</v>
      </c>
      <c r="AI80" s="612">
        <f>(H80-AH80)*AU80-I80*AV80-AE80*AW80-AF80-AG80</f>
        <v>112.66899999999998</v>
      </c>
      <c r="AJ80" s="321">
        <f t="shared" si="80"/>
        <v>137.10000000000002</v>
      </c>
      <c r="AK80" s="311">
        <f>IF($I80=0," ",AK79*$H80/$H78)</f>
        <v>8</v>
      </c>
      <c r="AL80" s="311"/>
      <c r="AM80" s="311"/>
      <c r="AN80" s="321"/>
      <c r="AO80" s="321"/>
      <c r="AP80" s="321"/>
      <c r="AQ80" s="612">
        <f t="shared" si="87"/>
        <v>90.175240000000045</v>
      </c>
      <c r="AR80" s="847">
        <f t="shared" si="81"/>
        <v>555.94600000000003</v>
      </c>
      <c r="AS80" s="321">
        <f>AX80*K80+AY80*AT80-AF80-AG80</f>
        <v>107.61800000000005</v>
      </c>
      <c r="AT80" s="321">
        <f t="shared" si="82"/>
        <v>590</v>
      </c>
      <c r="AU80" s="852">
        <v>0.89</v>
      </c>
      <c r="AV80" s="852">
        <v>0.79</v>
      </c>
      <c r="AW80" s="852">
        <v>0.45</v>
      </c>
      <c r="AX80" s="852">
        <v>0.62</v>
      </c>
      <c r="AY80" s="852">
        <v>0.95</v>
      </c>
      <c r="AZ80" s="303">
        <f>1*H80/1000</f>
        <v>0.88</v>
      </c>
      <c r="BA80" s="321">
        <f>IF($I80=0," ",$BA$78*$H80/$H$78*K80/$K$78)</f>
        <v>98.166666666666671</v>
      </c>
      <c r="BB80" s="321">
        <v>318.80701754385967</v>
      </c>
      <c r="BC80" s="381">
        <f t="shared" si="83"/>
        <v>8.9367023729999993</v>
      </c>
      <c r="BD80" s="277"/>
      <c r="BE80" s="277"/>
      <c r="BF80" s="277"/>
      <c r="BG80" s="277"/>
      <c r="BH80" s="277"/>
      <c r="BI80" s="277"/>
      <c r="BJ80" s="277"/>
      <c r="BK80" s="277"/>
      <c r="BL80" s="277"/>
      <c r="BM80" s="277"/>
      <c r="BN80" s="277"/>
      <c r="BO80" s="277"/>
      <c r="BP80" s="277"/>
      <c r="BQ80" s="277"/>
      <c r="BR80" s="277"/>
      <c r="BS80" s="277"/>
      <c r="BT80" s="277"/>
      <c r="BU80" s="277"/>
      <c r="BV80" s="277"/>
      <c r="BW80" s="277"/>
      <c r="BX80" s="277"/>
      <c r="BY80" s="277"/>
      <c r="BZ80" s="277"/>
      <c r="CA80" s="277"/>
      <c r="CB80" s="277"/>
      <c r="CC80" s="277"/>
      <c r="CD80" s="277"/>
      <c r="CE80" s="277"/>
      <c r="CF80" s="277"/>
      <c r="CG80" s="277"/>
      <c r="CH80" s="277"/>
      <c r="CI80" s="277"/>
      <c r="CJ80" s="277"/>
      <c r="CK80" s="277"/>
      <c r="CL80" s="277"/>
      <c r="CM80" s="277"/>
      <c r="CN80" s="277"/>
      <c r="CO80" s="277"/>
      <c r="CP80" s="277"/>
      <c r="CQ80" s="277"/>
      <c r="CR80" s="277"/>
      <c r="CS80" s="277"/>
      <c r="CT80" s="277"/>
      <c r="CU80" s="277"/>
      <c r="CV80" s="277"/>
      <c r="CW80" s="277"/>
      <c r="CX80" s="277"/>
      <c r="CY80" s="277"/>
      <c r="CZ80" s="277"/>
      <c r="DA80" s="277"/>
      <c r="DB80" s="277"/>
      <c r="DC80" s="277"/>
      <c r="DD80" s="277"/>
      <c r="DE80" s="277"/>
      <c r="DF80" s="277"/>
      <c r="DG80" s="277"/>
      <c r="DH80" s="277"/>
      <c r="DI80" s="277"/>
      <c r="DJ80" s="277"/>
      <c r="DK80" s="277"/>
      <c r="DL80" s="277"/>
      <c r="DM80" s="277"/>
      <c r="DN80" s="277"/>
      <c r="DO80" s="277"/>
      <c r="DP80" s="277"/>
      <c r="DQ80" s="277"/>
      <c r="DR80" s="277"/>
      <c r="DS80" s="277"/>
      <c r="DT80" s="277"/>
      <c r="DU80" s="277"/>
      <c r="DV80" s="277"/>
      <c r="DW80" s="277"/>
      <c r="DX80" s="277"/>
      <c r="DY80" s="277"/>
      <c r="DZ80" s="277"/>
      <c r="EA80" s="277"/>
      <c r="EB80" s="277"/>
      <c r="EC80" s="277"/>
      <c r="ED80" s="277"/>
      <c r="EE80" s="277"/>
      <c r="EF80" s="277"/>
      <c r="EG80" s="277"/>
      <c r="EH80" s="277"/>
      <c r="EI80" s="277"/>
      <c r="EJ80" s="277"/>
      <c r="EK80" s="277"/>
      <c r="EL80" s="277"/>
      <c r="EM80" s="277"/>
    </row>
    <row r="81" spans="1:143" s="3" customFormat="1" ht="12.5" customHeight="1">
      <c r="A81" s="897" t="str">
        <f t="shared" si="52"/>
        <v>Fischmehl 57% RP DLG 2014</v>
      </c>
      <c r="B81" s="298">
        <f>IF(D81=""," ",COUNTA($D$8:D81))</f>
        <v>72</v>
      </c>
      <c r="C81" s="327"/>
      <c r="D81" s="479" t="s">
        <v>60</v>
      </c>
      <c r="E81" s="617">
        <f>IF(I81=0," ",ROUND(I81/10,0))</f>
        <v>57</v>
      </c>
      <c r="F81" s="299" t="s">
        <v>969</v>
      </c>
      <c r="G81" s="300"/>
      <c r="H81" s="275">
        <v>910</v>
      </c>
      <c r="I81" s="275">
        <v>573</v>
      </c>
      <c r="J81" s="275">
        <f>I81*0.83</f>
        <v>475.59</v>
      </c>
      <c r="K81" s="275">
        <v>14</v>
      </c>
      <c r="L81" s="381">
        <f>I81*0.0205*AV81+0.0398*AW81*AE81+0.0173*AF81+0.016*$AG81+0.0147*AI81</f>
        <v>12.817102000000002</v>
      </c>
      <c r="M81" s="322">
        <f t="shared" si="84"/>
        <v>14.813228000000002</v>
      </c>
      <c r="N81" s="274">
        <f>IF(I81=0," ",(I81/H81*880*0.1074-23.1)/880*H81)</f>
        <v>37.652699999999989</v>
      </c>
      <c r="O81" s="301">
        <f>IF(N81=" "," ",N81*0.87)</f>
        <v>32.757848999999993</v>
      </c>
      <c r="P81" s="274">
        <f>IF(N81=" "," ",(I81/H81*880*0.0483-8.85)/880*H81)</f>
        <v>18.52419545454546</v>
      </c>
      <c r="Q81" s="301">
        <f>IF(N81=" "," ",P81*(0.88*18+7*0.59)/25)</f>
        <v>14.797127329090912</v>
      </c>
      <c r="R81" s="274">
        <f>IF(N81=" "," ",(I81/H81*880*0.0528-8.27)/880*H81)</f>
        <v>21.70246818181818</v>
      </c>
      <c r="S81" s="301">
        <f>IF(N81=" "," ",R81*0.88)</f>
        <v>19.098171999999998</v>
      </c>
      <c r="T81" s="274">
        <f>IF(N81=" "," ",(I81/H81*880*0.0157-3.57)/880*H81)</f>
        <v>5.3043954545454524</v>
      </c>
      <c r="U81" s="301">
        <f>T81*0.79</f>
        <v>4.1904724090909076</v>
      </c>
      <c r="V81" s="274">
        <v>63.7</v>
      </c>
      <c r="W81" s="274">
        <v>30</v>
      </c>
      <c r="X81" s="301">
        <f>W81*0.85</f>
        <v>25.5</v>
      </c>
      <c r="Y81" s="302">
        <f>X81</f>
        <v>25.5</v>
      </c>
      <c r="Z81" s="274">
        <v>2.2999999999999998</v>
      </c>
      <c r="AA81" s="303">
        <v>10</v>
      </c>
      <c r="AB81" s="276">
        <f>7*H81/900</f>
        <v>7.0777777777777775</v>
      </c>
      <c r="AC81" s="311">
        <f>IF($I81=""," ",($I81/H81*880*0.0375-7.21)/880*H81)</f>
        <v>14.031704545454543</v>
      </c>
      <c r="AD81" s="311">
        <f>AC81*0.88</f>
        <v>12.347899999999997</v>
      </c>
      <c r="AE81" s="321">
        <v>55</v>
      </c>
      <c r="AF81" s="321">
        <f>H81/1000*0</f>
        <v>0</v>
      </c>
      <c r="AG81" s="321">
        <v>0</v>
      </c>
      <c r="AH81" s="321">
        <v>200</v>
      </c>
      <c r="AI81" s="612">
        <f>(H81-AH81)*AU81-I81*AV81-AE81*AW81-AF81-AG81</f>
        <v>80.610000000000028</v>
      </c>
      <c r="AJ81" s="321">
        <f t="shared" si="80"/>
        <v>68</v>
      </c>
      <c r="AK81" s="610">
        <v>22.8</v>
      </c>
      <c r="AL81" s="610">
        <f>AK81/7*6</f>
        <v>19.542857142857144</v>
      </c>
      <c r="AM81" s="610">
        <f>AK81-AL81</f>
        <v>3.2571428571428562</v>
      </c>
      <c r="AN81" s="321"/>
      <c r="AO81" s="321"/>
      <c r="AP81" s="321"/>
      <c r="AQ81" s="612">
        <f t="shared" si="87"/>
        <v>1232.3516813131314</v>
      </c>
      <c r="AR81" s="847">
        <f t="shared" si="81"/>
        <v>2827.1980000000003</v>
      </c>
      <c r="AS81" s="321">
        <f>AX81*K81+AY81*AT81-AF81-AG81</f>
        <v>2.72</v>
      </c>
      <c r="AT81" s="321">
        <f t="shared" si="82"/>
        <v>68</v>
      </c>
      <c r="AU81" s="852">
        <v>0.85</v>
      </c>
      <c r="AV81" s="852">
        <v>0.83</v>
      </c>
      <c r="AW81" s="852">
        <v>0.86</v>
      </c>
      <c r="AX81" s="852">
        <v>0</v>
      </c>
      <c r="AY81" s="852">
        <v>0.04</v>
      </c>
      <c r="AZ81" s="303">
        <f>29.7*H81/1000</f>
        <v>27.027000000000001</v>
      </c>
      <c r="BA81" s="321">
        <f>K81*153%</f>
        <v>21.42</v>
      </c>
      <c r="BB81" s="321">
        <f>BA81*2.23</f>
        <v>47.766600000000004</v>
      </c>
      <c r="BC81" s="381">
        <f t="shared" si="83"/>
        <v>-2.7793435599999992</v>
      </c>
      <c r="BD81" s="277"/>
      <c r="BE81" s="277"/>
      <c r="BF81" s="277"/>
      <c r="BG81" s="277"/>
      <c r="BH81" s="277"/>
      <c r="BI81" s="277"/>
      <c r="BJ81" s="277"/>
      <c r="BK81" s="277"/>
      <c r="BL81" s="277"/>
      <c r="BM81" s="277"/>
      <c r="BN81" s="277"/>
      <c r="BO81" s="277"/>
      <c r="BP81" s="277"/>
      <c r="BQ81" s="277"/>
      <c r="BR81" s="277"/>
      <c r="BS81" s="277"/>
      <c r="BT81" s="277"/>
      <c r="BU81" s="277"/>
      <c r="BV81" s="277"/>
      <c r="BW81" s="277"/>
      <c r="BX81" s="277"/>
      <c r="BY81" s="277"/>
      <c r="BZ81" s="277"/>
      <c r="CA81" s="277"/>
      <c r="CB81" s="277"/>
      <c r="CC81" s="277"/>
      <c r="CD81" s="277"/>
      <c r="CE81" s="277"/>
      <c r="CF81" s="277"/>
      <c r="CG81" s="277"/>
      <c r="CH81" s="277"/>
      <c r="CI81" s="277"/>
      <c r="CJ81" s="277"/>
      <c r="CK81" s="277"/>
      <c r="CL81" s="277"/>
      <c r="CM81" s="277"/>
      <c r="CN81" s="277"/>
      <c r="CO81" s="277"/>
      <c r="CP81" s="277"/>
      <c r="CQ81" s="277"/>
      <c r="CR81" s="277"/>
      <c r="CS81" s="277"/>
      <c r="CT81" s="277"/>
      <c r="CU81" s="277"/>
      <c r="CV81" s="277"/>
      <c r="CW81" s="277"/>
      <c r="CX81" s="277"/>
      <c r="CY81" s="277"/>
      <c r="CZ81" s="277"/>
      <c r="DA81" s="277"/>
      <c r="DB81" s="277"/>
      <c r="DC81" s="277"/>
      <c r="DD81" s="277"/>
      <c r="DE81" s="277"/>
      <c r="DF81" s="277"/>
      <c r="DG81" s="277"/>
      <c r="DH81" s="277"/>
      <c r="DI81" s="277"/>
      <c r="DJ81" s="277"/>
      <c r="DK81" s="277"/>
      <c r="DL81" s="277"/>
      <c r="DM81" s="277"/>
      <c r="DN81" s="277"/>
      <c r="DO81" s="277"/>
      <c r="DP81" s="277"/>
      <c r="DQ81" s="277"/>
      <c r="DR81" s="277"/>
      <c r="DS81" s="277"/>
      <c r="DT81" s="277"/>
      <c r="DU81" s="277"/>
      <c r="DV81" s="277"/>
      <c r="DW81" s="277"/>
      <c r="DX81" s="277"/>
      <c r="DY81" s="277"/>
      <c r="DZ81" s="277"/>
      <c r="EA81" s="277"/>
      <c r="EB81" s="277"/>
      <c r="EC81" s="277"/>
      <c r="ED81" s="277"/>
      <c r="EE81" s="277"/>
      <c r="EF81" s="277"/>
      <c r="EG81" s="277"/>
      <c r="EH81" s="277"/>
      <c r="EI81" s="277"/>
      <c r="EJ81" s="277"/>
      <c r="EK81" s="277"/>
      <c r="EL81" s="277"/>
      <c r="EM81" s="277"/>
    </row>
    <row r="82" spans="1:143" s="3" customFormat="1" ht="12.5" customHeight="1">
      <c r="A82" s="897" t="str">
        <f t="shared" si="52"/>
        <v>Fischmehl proteinreich 69% RP DLG 2014</v>
      </c>
      <c r="B82" s="298">
        <f>IF(D82=""," ",COUNTA($D$8:D82))</f>
        <v>73</v>
      </c>
      <c r="C82" s="327"/>
      <c r="D82" s="479" t="s">
        <v>980</v>
      </c>
      <c r="E82" s="617">
        <f t="shared" si="0"/>
        <v>69</v>
      </c>
      <c r="F82" s="299" t="s">
        <v>969</v>
      </c>
      <c r="G82" s="300"/>
      <c r="H82" s="275">
        <v>910</v>
      </c>
      <c r="I82" s="275">
        <v>692</v>
      </c>
      <c r="J82" s="275">
        <f>I82*0.9</f>
        <v>622.80000000000007</v>
      </c>
      <c r="K82" s="275">
        <v>6</v>
      </c>
      <c r="L82" s="381">
        <f>I82*0.0205*AV82+0.0398*AW82*AE82+0.0173*AF82+0.016*$AG82+0.0147*AI82</f>
        <v>14.527984999999999</v>
      </c>
      <c r="M82" s="322">
        <f t="shared" si="84"/>
        <v>16.376953000000004</v>
      </c>
      <c r="N82" s="274">
        <f>IF(I82=0," ",(I82/H82*880*0.1074-23.1)/880*H82)</f>
        <v>50.433300000000003</v>
      </c>
      <c r="O82" s="301">
        <f>IF(N82=" "," ",N82*0.89)</f>
        <v>44.885637000000003</v>
      </c>
      <c r="P82" s="274">
        <f>IF(N82=" "," ",(I82/H82*880*0.0483-8.85)/880*H82)</f>
        <v>24.271895454545454</v>
      </c>
      <c r="Q82" s="301">
        <f>IF(N82=" "," ",P82*(17.3*0.89+6.4*0.74)/23.7)</f>
        <v>20.618821569044879</v>
      </c>
      <c r="R82" s="274">
        <f>IF(N82=" "," ",(I82/H82*880*0.0528-8.27)/880*H82)</f>
        <v>27.985668181818184</v>
      </c>
      <c r="S82" s="301">
        <f>IF(N82=" "," ",R82*0.88)</f>
        <v>24.627388000000003</v>
      </c>
      <c r="T82" s="274">
        <f>IF(N82=" "," ",(I82/H82*880*0.0157-3.57)/880*H82)</f>
        <v>7.1726954545454547</v>
      </c>
      <c r="U82" s="301">
        <f>IF(N82=" "," ",T82*0.86)</f>
        <v>6.1685180909090906</v>
      </c>
      <c r="V82" s="274">
        <v>45.5</v>
      </c>
      <c r="W82" s="274">
        <v>27.3</v>
      </c>
      <c r="X82" s="301">
        <f>W82*0.85</f>
        <v>23.204999999999998</v>
      </c>
      <c r="Y82" s="302">
        <f>X82</f>
        <v>23.204999999999998</v>
      </c>
      <c r="Z82" s="274">
        <v>2.7</v>
      </c>
      <c r="AA82" s="303">
        <v>9.1</v>
      </c>
      <c r="AB82" s="276">
        <f>7*H82/900</f>
        <v>7.0777777777777775</v>
      </c>
      <c r="AC82" s="311">
        <f>IF($I82=""," ",($I82/H82*880*0.0375-7.21)/880*H82)</f>
        <v>18.494204545454544</v>
      </c>
      <c r="AD82" s="311">
        <f>AC82*0.89</f>
        <v>16.459842045454543</v>
      </c>
      <c r="AE82" s="321">
        <v>59</v>
      </c>
      <c r="AF82" s="321">
        <v>0</v>
      </c>
      <c r="AG82" s="321">
        <v>0</v>
      </c>
      <c r="AH82" s="321">
        <v>173</v>
      </c>
      <c r="AI82" s="612">
        <f>(H82-AH82)*AU82-I82*AV82-AE82*AW82-AF82-AG82</f>
        <v>-17.610000000000007</v>
      </c>
      <c r="AJ82" s="321">
        <f t="shared" si="80"/>
        <v>-20</v>
      </c>
      <c r="AK82" s="311">
        <f>AK81*$AE$82/$AE$81</f>
        <v>24.458181818181821</v>
      </c>
      <c r="AL82" s="610">
        <f>AK82/7*6</f>
        <v>20.964155844155847</v>
      </c>
      <c r="AM82" s="610">
        <f>AK82-AL82</f>
        <v>3.4940259740259734</v>
      </c>
      <c r="AN82" s="321"/>
      <c r="AO82" s="321"/>
      <c r="AP82" s="321"/>
      <c r="AQ82" s="612">
        <f t="shared" si="87"/>
        <v>400.53158131313126</v>
      </c>
      <c r="AR82" s="847">
        <f t="shared" si="81"/>
        <v>2777.59</v>
      </c>
      <c r="AS82" s="321">
        <f>AX82*K82+AY82*AT82-AF82-AG82</f>
        <v>0</v>
      </c>
      <c r="AT82" s="321">
        <f>IF(H82=""," ",0)</f>
        <v>0</v>
      </c>
      <c r="AU82" s="852">
        <v>0.89</v>
      </c>
      <c r="AV82" s="852">
        <v>0.9</v>
      </c>
      <c r="AW82" s="852">
        <v>0.86</v>
      </c>
      <c r="AX82" s="852">
        <v>0</v>
      </c>
      <c r="AY82" s="852">
        <v>0.04</v>
      </c>
      <c r="AZ82" s="303">
        <f>29.7*H82/1000</f>
        <v>27.027000000000001</v>
      </c>
      <c r="BA82" s="321">
        <f>K82*153%</f>
        <v>9.18</v>
      </c>
      <c r="BB82" s="321">
        <f>BA82*2.23</f>
        <v>20.471399999999999</v>
      </c>
      <c r="BC82" s="381">
        <f t="shared" si="83"/>
        <v>-4.4218243099999999</v>
      </c>
      <c r="BD82" s="277"/>
      <c r="BE82" s="277"/>
      <c r="BF82" s="277"/>
      <c r="BG82" s="277"/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7"/>
      <c r="BW82" s="277"/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7"/>
      <c r="CL82" s="277"/>
      <c r="CM82" s="277"/>
      <c r="CN82" s="277"/>
      <c r="CO82" s="277"/>
      <c r="CP82" s="277"/>
      <c r="CQ82" s="277"/>
      <c r="CR82" s="277"/>
      <c r="CS82" s="277"/>
      <c r="CT82" s="277"/>
      <c r="CU82" s="277"/>
      <c r="CV82" s="277"/>
      <c r="CW82" s="277"/>
      <c r="CX82" s="277"/>
      <c r="CY82" s="277"/>
      <c r="CZ82" s="277"/>
      <c r="DA82" s="277"/>
      <c r="DB82" s="277"/>
      <c r="DC82" s="277"/>
      <c r="DD82" s="277"/>
      <c r="DE82" s="277"/>
      <c r="DF82" s="277"/>
      <c r="DG82" s="277"/>
      <c r="DH82" s="277"/>
      <c r="DI82" s="277"/>
      <c r="DJ82" s="277"/>
      <c r="DK82" s="277"/>
      <c r="DL82" s="277"/>
      <c r="DM82" s="277"/>
      <c r="DN82" s="277"/>
      <c r="DO82" s="277"/>
      <c r="DP82" s="277"/>
      <c r="DQ82" s="277"/>
      <c r="DR82" s="277"/>
      <c r="DS82" s="277"/>
      <c r="DT82" s="277"/>
      <c r="DU82" s="277"/>
      <c r="DV82" s="277"/>
      <c r="DW82" s="277"/>
      <c r="DX82" s="277"/>
      <c r="DY82" s="277"/>
      <c r="DZ82" s="277"/>
      <c r="EA82" s="277"/>
      <c r="EB82" s="277"/>
      <c r="EC82" s="277"/>
      <c r="ED82" s="277"/>
      <c r="EE82" s="277"/>
      <c r="EF82" s="277"/>
      <c r="EG82" s="277"/>
      <c r="EH82" s="277"/>
      <c r="EI82" s="277"/>
      <c r="EJ82" s="277"/>
      <c r="EK82" s="277"/>
      <c r="EL82" s="277"/>
      <c r="EM82" s="277"/>
    </row>
    <row r="83" spans="1:143" s="3" customFormat="1" ht="12.5" customHeight="1">
      <c r="A83" s="897" t="str">
        <f>IF(E83=" ",D83&amp;" "&amp;F83,D83&amp;" "&amp;E83&amp;"% RP "&amp;F83)</f>
        <v>Fischmehl vom Hering 66% RP DLG 2014</v>
      </c>
      <c r="B83" s="298">
        <f>IF(D83=""," ",COUNTA($D$8:D83))</f>
        <v>74</v>
      </c>
      <c r="C83" s="327"/>
      <c r="D83" s="479" t="s">
        <v>981</v>
      </c>
      <c r="E83" s="617">
        <f>IF(I83=0," ",ROUND(I83/10,0))</f>
        <v>66</v>
      </c>
      <c r="F83" s="299" t="s">
        <v>969</v>
      </c>
      <c r="G83" s="300"/>
      <c r="H83" s="275">
        <v>910</v>
      </c>
      <c r="I83" s="275">
        <v>655</v>
      </c>
      <c r="J83" s="275">
        <f>I83*0.9</f>
        <v>589.5</v>
      </c>
      <c r="K83" s="275">
        <v>0</v>
      </c>
      <c r="L83" s="381">
        <f>I83*0.0205*AV83+0.0398*AW83*AE83+0.0173*AF83+0.016*$AG83+0.0147*AI83</f>
        <v>15.382954</v>
      </c>
      <c r="M83" s="322">
        <f>IF(I83=""," ",$I83*0.021503+0.032497*$AE83+0.016309*$AF83+0.014701*$AJ83-0.021071*$K83)</f>
        <v>17.438619000000003</v>
      </c>
      <c r="N83" s="274">
        <f>IF(I83=0," ",(I83/H83*880*0.1074-23.1)/880*H83)</f>
        <v>46.459499999999998</v>
      </c>
      <c r="O83" s="301">
        <f>IF(N83=" "," ",N83*0.89)</f>
        <v>41.348954999999997</v>
      </c>
      <c r="P83" s="274">
        <f>IF(N83=" "," ",(I83/H83*880*0.0483-8.85)/880*H83)</f>
        <v>22.484795454545459</v>
      </c>
      <c r="Q83" s="301">
        <f>IF(N83=" "," ",P83*(0.88*20+6*0.74)/26)</f>
        <v>19.06018814685315</v>
      </c>
      <c r="R83" s="274">
        <f>IF(N83=" "," ",(I83/H83*880*0.0528-8.27)/880*H83)</f>
        <v>26.032068181818179</v>
      </c>
      <c r="S83" s="301">
        <f>IF(N83=" "," ",R83*0.86)</f>
        <v>22.387578636363635</v>
      </c>
      <c r="T83" s="274">
        <f>IF(N83=" "," ",(I83/H83*880*0.0157-3.57)/880*H83)</f>
        <v>6.5917954545454531</v>
      </c>
      <c r="U83" s="301">
        <f>T83*0.79</f>
        <v>5.2075184090909081</v>
      </c>
      <c r="V83" s="274">
        <v>45.5</v>
      </c>
      <c r="W83" s="274">
        <v>27.3</v>
      </c>
      <c r="X83" s="301">
        <f>W83*0.85</f>
        <v>23.204999999999998</v>
      </c>
      <c r="Y83" s="302">
        <f>X83</f>
        <v>23.204999999999998</v>
      </c>
      <c r="Z83" s="274">
        <v>2.7</v>
      </c>
      <c r="AA83" s="303">
        <v>9.1</v>
      </c>
      <c r="AB83" s="276">
        <f>7*H83/900</f>
        <v>7.0777777777777775</v>
      </c>
      <c r="AC83" s="311">
        <f>IF($I83=""," ",($I83/H83*880*0.0375-7.21)/880*H83)</f>
        <v>17.106704545454544</v>
      </c>
      <c r="AD83" s="311">
        <f>AC83*0.88</f>
        <v>15.053899999999999</v>
      </c>
      <c r="AE83" s="321">
        <v>91</v>
      </c>
      <c r="AF83" s="321">
        <f>H83/1000*0</f>
        <v>0</v>
      </c>
      <c r="AG83" s="321">
        <v>0</v>
      </c>
      <c r="AH83" s="321">
        <v>137</v>
      </c>
      <c r="AI83" s="612">
        <f>(H83-AH83)*AU83-I83*AV83-AE83*AW83-AF83-AG83</f>
        <v>12.480000000000004</v>
      </c>
      <c r="AJ83" s="321">
        <f t="shared" si="80"/>
        <v>27</v>
      </c>
      <c r="AK83" s="311">
        <f>AK82*$AE$82/$AE$81</f>
        <v>26.236958677685955</v>
      </c>
      <c r="AL83" s="610">
        <f>AK83/7*6</f>
        <v>22.488821723730819</v>
      </c>
      <c r="AM83" s="610">
        <f>AK83-AL83</f>
        <v>3.7481369539551359</v>
      </c>
      <c r="AN83" s="321"/>
      <c r="AO83" s="321"/>
      <c r="AP83" s="321"/>
      <c r="AQ83" s="612">
        <f>IF(H83="","",50*V83+83*Z83+26*AB83+44*AA83-59*W83-13*P83-28*AZ83)</f>
        <v>423.76388131313138</v>
      </c>
      <c r="AR83" s="847">
        <f>IF(H83="","",V83/1000*20140+Z83/1000*48600+1100/440*I83)</f>
        <v>2685.09</v>
      </c>
      <c r="AS83" s="321">
        <f>AX83*K83+AY83*AT83-AF83-AG83</f>
        <v>1.08</v>
      </c>
      <c r="AT83" s="321">
        <f t="shared" si="82"/>
        <v>27</v>
      </c>
      <c r="AU83" s="852">
        <v>0.88</v>
      </c>
      <c r="AV83" s="852">
        <v>0.9</v>
      </c>
      <c r="AW83" s="852">
        <v>0.86</v>
      </c>
      <c r="AX83" s="852">
        <v>0</v>
      </c>
      <c r="AY83" s="852">
        <v>0.04</v>
      </c>
      <c r="AZ83" s="303">
        <f>29.7*H83/1000</f>
        <v>27.027000000000001</v>
      </c>
      <c r="BA83" s="321">
        <f>K83*153%</f>
        <v>0</v>
      </c>
      <c r="BB83" s="321">
        <f>BA83*2.23</f>
        <v>0</v>
      </c>
      <c r="BC83" s="381">
        <f t="shared" si="83"/>
        <v>-0.60480812999999856</v>
      </c>
      <c r="BD83" s="277"/>
      <c r="BE83" s="277"/>
      <c r="BF83" s="277"/>
      <c r="BG83" s="277"/>
      <c r="BH83" s="277"/>
      <c r="BI83" s="277"/>
      <c r="BJ83" s="277"/>
      <c r="BK83" s="277"/>
      <c r="BL83" s="277"/>
      <c r="BM83" s="277"/>
      <c r="BN83" s="277"/>
      <c r="BO83" s="277"/>
      <c r="BP83" s="277"/>
      <c r="BQ83" s="277"/>
      <c r="BR83" s="277"/>
      <c r="BS83" s="277"/>
      <c r="BT83" s="277"/>
      <c r="BU83" s="277"/>
      <c r="BV83" s="277"/>
      <c r="BW83" s="277"/>
      <c r="BX83" s="277"/>
      <c r="BY83" s="277"/>
      <c r="BZ83" s="277"/>
      <c r="CA83" s="277"/>
      <c r="CB83" s="277"/>
      <c r="CC83" s="277"/>
      <c r="CD83" s="277"/>
      <c r="CE83" s="277"/>
      <c r="CF83" s="277"/>
      <c r="CG83" s="277"/>
      <c r="CH83" s="277"/>
      <c r="CI83" s="277"/>
      <c r="CJ83" s="277"/>
      <c r="CK83" s="277"/>
      <c r="CL83" s="277"/>
      <c r="CM83" s="277"/>
      <c r="CN83" s="277"/>
      <c r="CO83" s="277"/>
      <c r="CP83" s="277"/>
      <c r="CQ83" s="277"/>
      <c r="CR83" s="277"/>
      <c r="CS83" s="277"/>
      <c r="CT83" s="277"/>
      <c r="CU83" s="277"/>
      <c r="CV83" s="277"/>
      <c r="CW83" s="277"/>
      <c r="CX83" s="277"/>
      <c r="CY83" s="277"/>
      <c r="CZ83" s="277"/>
      <c r="DA83" s="277"/>
      <c r="DB83" s="277"/>
      <c r="DC83" s="277"/>
      <c r="DD83" s="277"/>
      <c r="DE83" s="277"/>
      <c r="DF83" s="277"/>
      <c r="DG83" s="277"/>
      <c r="DH83" s="277"/>
      <c r="DI83" s="277"/>
      <c r="DJ83" s="277"/>
      <c r="DK83" s="277"/>
      <c r="DL83" s="277"/>
      <c r="DM83" s="277"/>
      <c r="DN83" s="277"/>
      <c r="DO83" s="277"/>
      <c r="DP83" s="277"/>
      <c r="DQ83" s="277"/>
      <c r="DR83" s="277"/>
      <c r="DS83" s="277"/>
      <c r="DT83" s="277"/>
      <c r="DU83" s="277"/>
      <c r="DV83" s="277"/>
      <c r="DW83" s="277"/>
      <c r="DX83" s="277"/>
      <c r="DY83" s="277"/>
      <c r="DZ83" s="277"/>
      <c r="EA83" s="277"/>
      <c r="EB83" s="277"/>
      <c r="EC83" s="277"/>
      <c r="ED83" s="277"/>
      <c r="EE83" s="277"/>
      <c r="EF83" s="277"/>
      <c r="EG83" s="277"/>
      <c r="EH83" s="277"/>
      <c r="EI83" s="277"/>
      <c r="EJ83" s="277"/>
      <c r="EK83" s="277"/>
      <c r="EL83" s="277"/>
      <c r="EM83" s="277"/>
    </row>
    <row r="84" spans="1:143" s="3" customFormat="1" ht="12.5" customHeight="1">
      <c r="A84" s="897" t="str">
        <f t="shared" si="52"/>
        <v xml:space="preserve">eigenes Fischmehl </v>
      </c>
      <c r="B84" s="298">
        <f>IF(D84=""," ",COUNTA($D$8:D84))</f>
        <v>75</v>
      </c>
      <c r="C84" s="327"/>
      <c r="D84" s="480" t="s">
        <v>336</v>
      </c>
      <c r="E84" s="619" t="str">
        <f t="shared" si="0"/>
        <v xml:space="preserve"> </v>
      </c>
      <c r="F84" s="304"/>
      <c r="G84" s="305"/>
      <c r="H84" s="91"/>
      <c r="I84" s="91"/>
      <c r="J84" s="306" t="str">
        <f>IF(I84=0," ",I84*0.83)</f>
        <v xml:space="preserve"> </v>
      </c>
      <c r="K84" s="91"/>
      <c r="L84" s="988" t="str">
        <f>IF($I84=""," ",I84*0.0205*AV84+0.0398*AW84*AE84+0.0173*AF84+0.016*$AG84+0.0147*AI84)</f>
        <v xml:space="preserve"> </v>
      </c>
      <c r="M84" s="988" t="str">
        <f t="shared" si="84"/>
        <v xml:space="preserve"> </v>
      </c>
      <c r="N84" s="307" t="str">
        <f>IF(I84=0," ",(I84/H84*880*0.1074-23.1)/880*H84)</f>
        <v xml:space="preserve"> </v>
      </c>
      <c r="O84" s="308" t="str">
        <f>IF(N84=" "," ",N84*0.87)</f>
        <v xml:space="preserve"> </v>
      </c>
      <c r="P84" s="307" t="str">
        <f>IF(N84=" "," ",(I84/H84*880*0.0483-8.85)/880*H84)</f>
        <v xml:space="preserve"> </v>
      </c>
      <c r="Q84" s="308" t="str">
        <f>IF(N84=" "," ",P84*0.85)</f>
        <v xml:space="preserve"> </v>
      </c>
      <c r="R84" s="307" t="str">
        <f>IF(N84=" "," ",(I84/H84*880*0.0528-8.27)/880*H84)</f>
        <v xml:space="preserve"> </v>
      </c>
      <c r="S84" s="308" t="str">
        <f>IF(N84=" "," ",R84*0.88)</f>
        <v xml:space="preserve"> </v>
      </c>
      <c r="T84" s="307" t="str">
        <f>IF(N84=" "," ",(I84/H84*880*0.0157-3.57)/880*H84)</f>
        <v xml:space="preserve"> </v>
      </c>
      <c r="U84" s="308" t="str">
        <f>IF(N84=" "," ",T84*0.85)</f>
        <v xml:space="preserve"> </v>
      </c>
      <c r="V84" s="307" t="str">
        <f t="shared" ref="V84:AB84" si="91">IF($I84=0," ",V82*$H84/$H82)</f>
        <v xml:space="preserve"> </v>
      </c>
      <c r="W84" s="307" t="str">
        <f t="shared" si="91"/>
        <v xml:space="preserve"> </v>
      </c>
      <c r="X84" s="308" t="str">
        <f t="shared" si="91"/>
        <v xml:space="preserve"> </v>
      </c>
      <c r="Y84" s="307" t="str">
        <f t="shared" si="91"/>
        <v xml:space="preserve"> </v>
      </c>
      <c r="Z84" s="307" t="str">
        <f t="shared" si="91"/>
        <v xml:space="preserve"> </v>
      </c>
      <c r="AA84" s="309" t="str">
        <f t="shared" si="91"/>
        <v xml:space="preserve"> </v>
      </c>
      <c r="AB84" s="310" t="str">
        <f t="shared" si="91"/>
        <v xml:space="preserve"> </v>
      </c>
      <c r="AC84" s="307" t="str">
        <f>IF($I84=""," ",($I84/H84*880*0.0375-7.21)/880*H84)</f>
        <v xml:space="preserve"> </v>
      </c>
      <c r="AD84" s="307" t="str">
        <f>IF(AC84=" "," ",AC84*0.88)</f>
        <v xml:space="preserve"> </v>
      </c>
      <c r="AE84" s="92"/>
      <c r="AF84" s="92"/>
      <c r="AG84" s="92"/>
      <c r="AH84" s="92"/>
      <c r="AI84" s="306" t="str">
        <f>IF($I84=""," ",(H84-AH84)*AU84-I84*AV84-AE84*AW84-AF84-AG84)</f>
        <v xml:space="preserve"> </v>
      </c>
      <c r="AJ84" s="306" t="str">
        <f t="shared" si="80"/>
        <v xml:space="preserve"> </v>
      </c>
      <c r="AK84" s="307" t="str">
        <f t="shared" ref="AK84:AP84" si="92">IF($I84=0," ",AK82*$H84/$H82)</f>
        <v xml:space="preserve"> </v>
      </c>
      <c r="AL84" s="307" t="str">
        <f t="shared" si="92"/>
        <v xml:space="preserve"> </v>
      </c>
      <c r="AM84" s="307" t="str">
        <f t="shared" si="92"/>
        <v xml:space="preserve"> </v>
      </c>
      <c r="AN84" s="306" t="str">
        <f t="shared" si="92"/>
        <v xml:space="preserve"> </v>
      </c>
      <c r="AO84" s="306" t="str">
        <f t="shared" si="92"/>
        <v xml:space="preserve"> </v>
      </c>
      <c r="AP84" s="306" t="str">
        <f t="shared" si="92"/>
        <v xml:space="preserve"> </v>
      </c>
      <c r="AQ84" s="306" t="str">
        <f t="shared" si="87"/>
        <v/>
      </c>
      <c r="AR84" s="306" t="str">
        <f t="shared" si="81"/>
        <v/>
      </c>
      <c r="AS84" s="306" t="str">
        <f>IF($I84=0," ",AX84*K84+AY84*AT84-AF84-AG84)</f>
        <v xml:space="preserve"> </v>
      </c>
      <c r="AT84" s="92" t="str">
        <f t="shared" si="82"/>
        <v xml:space="preserve"> </v>
      </c>
      <c r="AU84" s="853" t="str">
        <f>IF($I84=0," ",AU82)</f>
        <v xml:space="preserve"> </v>
      </c>
      <c r="AV84" s="853" t="str">
        <f>IF($I84=0," ",AV82)</f>
        <v xml:space="preserve"> </v>
      </c>
      <c r="AW84" s="853" t="str">
        <f>IF($I84=0," ",AW82)</f>
        <v xml:space="preserve"> </v>
      </c>
      <c r="AX84" s="853" t="str">
        <f>IF($I84=0," ",AX82)</f>
        <v xml:space="preserve"> </v>
      </c>
      <c r="AY84" s="853" t="str">
        <f>IF($I84=0," ",AY82)</f>
        <v xml:space="preserve"> </v>
      </c>
      <c r="AZ84" s="309" t="str">
        <f>IF($I84=0," ",AZ82*$H84/$H82)</f>
        <v xml:space="preserve"> </v>
      </c>
      <c r="BA84" s="92" t="str">
        <f>IF($I84=0," ",BA82*$H84/$H82*K84/K82)</f>
        <v xml:space="preserve"> </v>
      </c>
      <c r="BB84" s="92" t="str">
        <f>IF($I84=0," ",BB82*$H84/$H82*K84/K82)</f>
        <v xml:space="preserve"> </v>
      </c>
      <c r="BC84" s="988" t="str">
        <f t="shared" si="83"/>
        <v/>
      </c>
      <c r="BD84" s="277"/>
      <c r="BE84" s="277"/>
      <c r="BF84" s="277"/>
      <c r="BG84" s="277"/>
      <c r="BH84" s="277"/>
      <c r="BI84" s="277"/>
      <c r="BJ84" s="277"/>
      <c r="BK84" s="277"/>
      <c r="BL84" s="277"/>
      <c r="BM84" s="277"/>
      <c r="BN84" s="277"/>
      <c r="BO84" s="277"/>
      <c r="BP84" s="277"/>
      <c r="BQ84" s="277"/>
      <c r="BR84" s="277"/>
      <c r="BS84" s="277"/>
      <c r="BT84" s="277"/>
      <c r="BU84" s="277"/>
      <c r="BV84" s="277"/>
      <c r="BW84" s="277"/>
      <c r="BX84" s="277"/>
      <c r="BY84" s="277"/>
      <c r="BZ84" s="277"/>
      <c r="CA84" s="277"/>
      <c r="CB84" s="277"/>
      <c r="CC84" s="277"/>
      <c r="CD84" s="277"/>
      <c r="CE84" s="277"/>
      <c r="CF84" s="277"/>
      <c r="CG84" s="277"/>
      <c r="CH84" s="277"/>
      <c r="CI84" s="277"/>
      <c r="CJ84" s="277"/>
      <c r="CK84" s="277"/>
      <c r="CL84" s="277"/>
      <c r="CM84" s="277"/>
      <c r="CN84" s="277"/>
      <c r="CO84" s="277"/>
      <c r="CP84" s="277"/>
      <c r="CQ84" s="277"/>
      <c r="CR84" s="277"/>
      <c r="CS84" s="277"/>
      <c r="CT84" s="277"/>
      <c r="CU84" s="277"/>
      <c r="CV84" s="277"/>
      <c r="CW84" s="277"/>
      <c r="CX84" s="277"/>
      <c r="CY84" s="277"/>
      <c r="CZ84" s="277"/>
      <c r="DA84" s="277"/>
      <c r="DB84" s="277"/>
      <c r="DC84" s="277"/>
      <c r="DD84" s="277"/>
      <c r="DE84" s="277"/>
      <c r="DF84" s="277"/>
      <c r="DG84" s="277"/>
      <c r="DH84" s="277"/>
      <c r="DI84" s="277"/>
      <c r="DJ84" s="277"/>
      <c r="DK84" s="277"/>
      <c r="DL84" s="277"/>
      <c r="DM84" s="277"/>
      <c r="DN84" s="277"/>
      <c r="DO84" s="277"/>
      <c r="DP84" s="277"/>
      <c r="DQ84" s="277"/>
      <c r="DR84" s="277"/>
      <c r="DS84" s="277"/>
      <c r="DT84" s="277"/>
      <c r="DU84" s="277"/>
      <c r="DV84" s="277"/>
      <c r="DW84" s="277"/>
      <c r="DX84" s="277"/>
      <c r="DY84" s="277"/>
      <c r="DZ84" s="277"/>
      <c r="EA84" s="277"/>
      <c r="EB84" s="277"/>
      <c r="EC84" s="277"/>
      <c r="ED84" s="277"/>
      <c r="EE84" s="277"/>
      <c r="EF84" s="277"/>
      <c r="EG84" s="277"/>
      <c r="EH84" s="277"/>
      <c r="EI84" s="277"/>
      <c r="EJ84" s="277"/>
      <c r="EK84" s="277"/>
      <c r="EL84" s="277"/>
      <c r="EM84" s="277"/>
    </row>
    <row r="85" spans="1:143" s="3" customFormat="1" ht="12.5" customHeight="1">
      <c r="A85" s="897" t="str">
        <f t="shared" si="52"/>
        <v>Kartoffeleiweiß 38% RP DLG 2014</v>
      </c>
      <c r="B85" s="298">
        <f>IF(D91=""," ",COUNTA($D$8:D91))</f>
        <v>82</v>
      </c>
      <c r="C85" s="327"/>
      <c r="D85" s="479" t="s">
        <v>61</v>
      </c>
      <c r="E85" s="617">
        <f>IF(I91=0," ",ROUND(I91/10,0))</f>
        <v>38</v>
      </c>
      <c r="F85" s="299" t="s">
        <v>969</v>
      </c>
      <c r="G85" s="300"/>
      <c r="H85" s="275">
        <v>910</v>
      </c>
      <c r="I85" s="275">
        <v>765</v>
      </c>
      <c r="J85" s="321">
        <f>I91*0.94</f>
        <v>355.32</v>
      </c>
      <c r="K85" s="275">
        <v>7</v>
      </c>
      <c r="L85" s="381">
        <f>IF($I91=""," ",I91*0.0205*AV91+0.0398*AW91*AE91+0.0173*AF91+0.016*$AG91+0.0147*AI91)</f>
        <v>13.606580000000003</v>
      </c>
      <c r="M85" s="322">
        <f>IF(I91=""," ",$I91*0.021503+0.032497*$AE91+0.016309*$AF91+0.014701*$AJ91-0.021071*$K91)</f>
        <v>10.538852</v>
      </c>
      <c r="N85" s="274">
        <f>IF(I91=0," ",(I91/H91*880*0.0899-10.12)/880*H91)</f>
        <v>23.862200000000001</v>
      </c>
      <c r="O85" s="301">
        <f>IF(N91=" "," ",N91*0.9)</f>
        <v>16.225560000000002</v>
      </c>
      <c r="P85" s="274">
        <f>IF(N91=" "," ",(I91/H91*880*0.037-0.55)/880*H91)</f>
        <v>13.435999999999998</v>
      </c>
      <c r="Q85" s="301">
        <f>IF(N91=" "," ",P91*0.82)</f>
        <v>7.037075999999999</v>
      </c>
      <c r="R85" s="274">
        <f>IF(N91=" "," ",(I91/H91*880*0.0565+0.28)/880*H91)</f>
        <v>21.637</v>
      </c>
      <c r="S85" s="301">
        <f>IF(N91=" "," ",R91*0.86)</f>
        <v>10.694099999999999</v>
      </c>
      <c r="T85" s="274">
        <f>IF(N91=" "," ",(I91/H91*880*0.0182-3.12)/880*H91)</f>
        <v>3.7595999999999998</v>
      </c>
      <c r="U85" s="301">
        <f>IF(N91=" "," ",T91*0.8)</f>
        <v>2.5105600000000003</v>
      </c>
      <c r="V85" s="274">
        <v>0.4</v>
      </c>
      <c r="W85" s="274">
        <v>2.6</v>
      </c>
      <c r="X85" s="301">
        <v>1.8</v>
      </c>
      <c r="Y85" s="325">
        <v>1.8</v>
      </c>
      <c r="Z85" s="274">
        <v>0.5</v>
      </c>
      <c r="AA85" s="303">
        <v>0.2</v>
      </c>
      <c r="AB85" s="276">
        <v>8.6</v>
      </c>
      <c r="AC85" s="311">
        <f>IF($I91=""," ",$P91*0.6074074)</f>
        <v>5.2126488253199996</v>
      </c>
      <c r="AD85" s="311">
        <f>AC91*0.91</f>
        <v>2.0939099999999997</v>
      </c>
      <c r="AE85" s="321">
        <v>15</v>
      </c>
      <c r="AF85" s="321">
        <f>0</f>
        <v>0</v>
      </c>
      <c r="AG85" s="321">
        <f>6*H91/1000</f>
        <v>5.28</v>
      </c>
      <c r="AH85" s="321">
        <f>32*H91/1000</f>
        <v>28.16</v>
      </c>
      <c r="AI85" s="612">
        <f>(H91-AH91)*AU91-I91*AV91-AE91*AW91-AF91-AG91</f>
        <v>274.04000000000008</v>
      </c>
      <c r="AJ85" s="321">
        <f>IF($I91=""," ",$H91-($AE91+$AF91+$AH91+$I91+$K91))</f>
        <v>219</v>
      </c>
      <c r="AK85" s="311">
        <v>4.9000000000000004</v>
      </c>
      <c r="AL85" s="311">
        <v>8.1999999999999993</v>
      </c>
      <c r="AM85" s="311"/>
      <c r="AN85" s="321"/>
      <c r="AO85" s="321"/>
      <c r="AP85" s="321"/>
      <c r="AQ85" s="612">
        <f>IF(H91="","",50*V91+83*Z91+26*AB91+44*AA91-59*W91-13*P91-28*AZ91)</f>
        <v>143.08859999999999</v>
      </c>
      <c r="AR85" s="847">
        <f>IF(H91="","",V91/1000*20140+Z91/1000*48600+1100/440*I91)</f>
        <v>1088.172</v>
      </c>
      <c r="AS85" s="321">
        <f>AX91*K91+AY91*AT91-AF91-AG91</f>
        <v>271.27</v>
      </c>
      <c r="AT85" s="321">
        <f t="shared" si="82"/>
        <v>94.84</v>
      </c>
      <c r="AU85" s="852">
        <v>0.92</v>
      </c>
      <c r="AV85" s="852">
        <v>0.94</v>
      </c>
      <c r="AW85" s="852">
        <v>0.32</v>
      </c>
      <c r="AX85" s="852">
        <v>0.33</v>
      </c>
      <c r="AY85" s="852">
        <v>0.92</v>
      </c>
      <c r="AZ85" s="303">
        <f>1.09*H91/1000</f>
        <v>0.95920000000000005</v>
      </c>
      <c r="BA85" s="321">
        <f>K91</f>
        <v>148</v>
      </c>
      <c r="BB85" s="321">
        <f>BA91*2</f>
        <v>235.34596491228069</v>
      </c>
      <c r="BC85" s="381">
        <f t="shared" si="83"/>
        <v>-13.188638040000003</v>
      </c>
      <c r="BD85" s="277"/>
      <c r="BE85" s="277"/>
      <c r="BF85" s="277"/>
      <c r="BG85" s="277"/>
      <c r="BH85" s="277"/>
      <c r="BI85" s="277"/>
      <c r="BJ85" s="277"/>
      <c r="BK85" s="277"/>
      <c r="BL85" s="277"/>
      <c r="BM85" s="277"/>
      <c r="BN85" s="277"/>
      <c r="BO85" s="277"/>
      <c r="BP85" s="277"/>
      <c r="BQ85" s="277"/>
      <c r="BR85" s="277"/>
      <c r="BS85" s="277"/>
      <c r="BT85" s="277"/>
      <c r="BU85" s="277"/>
      <c r="BV85" s="277"/>
      <c r="BW85" s="277"/>
      <c r="BX85" s="277"/>
      <c r="BY85" s="277"/>
      <c r="BZ85" s="277"/>
      <c r="CA85" s="277"/>
      <c r="CB85" s="277"/>
      <c r="CC85" s="277"/>
      <c r="CD85" s="277"/>
      <c r="CE85" s="277"/>
      <c r="CF85" s="277"/>
      <c r="CG85" s="277"/>
      <c r="CH85" s="277"/>
      <c r="CI85" s="277"/>
      <c r="CJ85" s="277"/>
      <c r="CK85" s="277"/>
      <c r="CL85" s="277"/>
      <c r="CM85" s="277"/>
      <c r="CN85" s="277"/>
      <c r="CO85" s="277"/>
      <c r="CP85" s="277"/>
      <c r="CQ85" s="277"/>
      <c r="CR85" s="277"/>
      <c r="CS85" s="277"/>
      <c r="CT85" s="277"/>
      <c r="CU85" s="277"/>
      <c r="CV85" s="277"/>
      <c r="CW85" s="277"/>
      <c r="CX85" s="277"/>
      <c r="CY85" s="277"/>
      <c r="CZ85" s="277"/>
      <c r="DA85" s="277"/>
      <c r="DB85" s="277"/>
      <c r="DC85" s="277"/>
      <c r="DD85" s="277"/>
      <c r="DE85" s="277"/>
      <c r="DF85" s="277"/>
      <c r="DG85" s="277"/>
      <c r="DH85" s="277"/>
      <c r="DI85" s="277"/>
      <c r="DJ85" s="277"/>
      <c r="DK85" s="277"/>
      <c r="DL85" s="277"/>
      <c r="DM85" s="277"/>
      <c r="DN85" s="277"/>
      <c r="DO85" s="277"/>
      <c r="DP85" s="277"/>
      <c r="DQ85" s="277"/>
      <c r="DR85" s="277"/>
      <c r="DS85" s="277"/>
      <c r="DT85" s="277"/>
      <c r="DU85" s="277"/>
      <c r="DV85" s="277"/>
      <c r="DW85" s="277"/>
      <c r="DX85" s="277"/>
      <c r="DY85" s="277"/>
      <c r="DZ85" s="277"/>
      <c r="EA85" s="277"/>
      <c r="EB85" s="277"/>
      <c r="EC85" s="277"/>
      <c r="ED85" s="277"/>
      <c r="EE85" s="277"/>
      <c r="EF85" s="277"/>
      <c r="EG85" s="277"/>
      <c r="EH85" s="277"/>
      <c r="EI85" s="277"/>
      <c r="EJ85" s="277"/>
      <c r="EK85" s="277"/>
      <c r="EL85" s="277"/>
      <c r="EM85" s="277"/>
    </row>
    <row r="86" spans="1:143" s="3" customFormat="1" ht="12.5" customHeight="1">
      <c r="A86" s="897" t="str">
        <f t="shared" ref="A86:A119" si="93">IF(E86=" ",D86&amp;" "&amp;F86,D86&amp;" "&amp;E86&amp;"% RP "&amp;F86)</f>
        <v xml:space="preserve">eigenes Kartoffeleiweiß </v>
      </c>
      <c r="B86" s="298">
        <f>IF(D86=""," ",COUNTA($D$8:D86))</f>
        <v>77</v>
      </c>
      <c r="C86" s="327"/>
      <c r="D86" s="480" t="s">
        <v>297</v>
      </c>
      <c r="E86" s="619" t="str">
        <f t="shared" si="0"/>
        <v xml:space="preserve"> </v>
      </c>
      <c r="F86" s="304"/>
      <c r="G86" s="305"/>
      <c r="H86" s="91"/>
      <c r="I86" s="91"/>
      <c r="J86" s="306" t="str">
        <f>IF(I86=0," ",I86*0.94)</f>
        <v xml:space="preserve"> </v>
      </c>
      <c r="K86" s="91"/>
      <c r="L86" s="988" t="str">
        <f>IF($I86=""," ",I86*0.0205*AV86+0.0398*AW86*AE86+0.0173*AF86+0.016*$AG86+0.0147*AI86)</f>
        <v xml:space="preserve"> </v>
      </c>
      <c r="M86" s="988" t="str">
        <f t="shared" si="84"/>
        <v xml:space="preserve"> </v>
      </c>
      <c r="N86" s="307" t="str">
        <f>IF(I86=0," ",(I86/H86*880*0.0899-10.12)/880*H86)</f>
        <v xml:space="preserve"> </v>
      </c>
      <c r="O86" s="308" t="str">
        <f>IF(N86=" "," ",N86*0.9)</f>
        <v xml:space="preserve"> </v>
      </c>
      <c r="P86" s="307" t="str">
        <f>IF(N86=" "," ",(I86/H86*880*0.037-0.55)/880*H86)</f>
        <v xml:space="preserve"> </v>
      </c>
      <c r="Q86" s="308" t="str">
        <f>IF(N86=" "," ",P86*0.82)</f>
        <v xml:space="preserve"> </v>
      </c>
      <c r="R86" s="307" t="str">
        <f>IF(N86=" "," ",(I86/H86*880*0.0565+0.28)/880*H86)</f>
        <v xml:space="preserve"> </v>
      </c>
      <c r="S86" s="308" t="str">
        <f>IF(N86=" "," ",R86*0.86)</f>
        <v xml:space="preserve"> </v>
      </c>
      <c r="T86" s="307" t="str">
        <f>IF(N86=" "," ",(I86/H86*880*0.0182-3.12)/880*H86)</f>
        <v xml:space="preserve"> </v>
      </c>
      <c r="U86" s="308" t="str">
        <f>IF(N86=" "," ",T86*0.8)</f>
        <v xml:space="preserve"> </v>
      </c>
      <c r="V86" s="307" t="str">
        <f t="shared" ref="V86:AB86" si="94">IF($I86=0," ",V91*$H86/$H91)</f>
        <v xml:space="preserve"> </v>
      </c>
      <c r="W86" s="307" t="str">
        <f t="shared" si="94"/>
        <v xml:space="preserve"> </v>
      </c>
      <c r="X86" s="308" t="str">
        <f t="shared" si="94"/>
        <v xml:space="preserve"> </v>
      </c>
      <c r="Y86" s="307" t="str">
        <f t="shared" si="94"/>
        <v xml:space="preserve"> </v>
      </c>
      <c r="Z86" s="307" t="str">
        <f t="shared" si="94"/>
        <v xml:space="preserve"> </v>
      </c>
      <c r="AA86" s="309" t="str">
        <f t="shared" si="94"/>
        <v xml:space="preserve"> </v>
      </c>
      <c r="AB86" s="310" t="str">
        <f t="shared" si="94"/>
        <v xml:space="preserve"> </v>
      </c>
      <c r="AC86" s="307" t="str">
        <f>IF($I86=""," ",($P86*0.6074074))</f>
        <v xml:space="preserve"> </v>
      </c>
      <c r="AD86" s="307" t="str">
        <f>IF(AC86=" "," ",AC86*0.91)</f>
        <v xml:space="preserve"> </v>
      </c>
      <c r="AE86" s="92"/>
      <c r="AF86" s="92"/>
      <c r="AG86" s="92"/>
      <c r="AH86" s="92"/>
      <c r="AI86" s="306" t="str">
        <f>IF($I86=""," ",(H86-AH86)*AU86-I86*AV86-AE86*AW86-AF86-AG86)</f>
        <v xml:space="preserve"> </v>
      </c>
      <c r="AJ86" s="306" t="str">
        <f t="shared" si="80"/>
        <v xml:space="preserve"> </v>
      </c>
      <c r="AK86" s="307" t="str">
        <f t="shared" ref="AK86:AP86" si="95">IF($I86=0," ",AK91*$H86/$H91)</f>
        <v xml:space="preserve"> </v>
      </c>
      <c r="AL86" s="307" t="str">
        <f t="shared" si="95"/>
        <v xml:space="preserve"> </v>
      </c>
      <c r="AM86" s="307" t="str">
        <f t="shared" si="95"/>
        <v xml:space="preserve"> </v>
      </c>
      <c r="AN86" s="306" t="str">
        <f t="shared" si="95"/>
        <v xml:space="preserve"> </v>
      </c>
      <c r="AO86" s="306" t="str">
        <f t="shared" si="95"/>
        <v xml:space="preserve"> </v>
      </c>
      <c r="AP86" s="306" t="str">
        <f t="shared" si="95"/>
        <v xml:space="preserve"> </v>
      </c>
      <c r="AQ86" s="306" t="str">
        <f t="shared" si="87"/>
        <v/>
      </c>
      <c r="AR86" s="306" t="str">
        <f t="shared" si="81"/>
        <v/>
      </c>
      <c r="AS86" s="306" t="str">
        <f>IF($I86=0," ",AX86*K86+AY86*AT86-AF86-AG86)</f>
        <v xml:space="preserve"> </v>
      </c>
      <c r="AT86" s="92" t="str">
        <f t="shared" si="82"/>
        <v xml:space="preserve"> </v>
      </c>
      <c r="AU86" s="853" t="str">
        <f>IF($I86=0," ",AU91)</f>
        <v xml:space="preserve"> </v>
      </c>
      <c r="AV86" s="853" t="str">
        <f>IF($I86=0," ",AV91)</f>
        <v xml:space="preserve"> </v>
      </c>
      <c r="AW86" s="853" t="str">
        <f>IF($I86=0," ",AW91)</f>
        <v xml:space="preserve"> </v>
      </c>
      <c r="AX86" s="853" t="str">
        <f>IF($I86=0," ",AX91)</f>
        <v xml:space="preserve"> </v>
      </c>
      <c r="AY86" s="853" t="str">
        <f>IF($I86=0," ",AY91)</f>
        <v xml:space="preserve"> </v>
      </c>
      <c r="AZ86" s="309" t="str">
        <f>IF($I86=0," ",AZ91*$H86/$H91)</f>
        <v xml:space="preserve"> </v>
      </c>
      <c r="BA86" s="92" t="str">
        <f>IF($I86=0," ",BA91*$H86/$H91*K86/K91)</f>
        <v xml:space="preserve"> </v>
      </c>
      <c r="BB86" s="92" t="str">
        <f>IF($I86=0," ",BB91*$H86/$H91*K86/K91)</f>
        <v xml:space="preserve"> </v>
      </c>
      <c r="BC86" s="988" t="str">
        <f t="shared" si="83"/>
        <v/>
      </c>
      <c r="BD86" s="277"/>
      <c r="BE86" s="277"/>
      <c r="BF86" s="277"/>
      <c r="BG86" s="277"/>
      <c r="BH86" s="277"/>
      <c r="BI86" s="277"/>
      <c r="BJ86" s="277"/>
      <c r="BK86" s="277"/>
      <c r="BL86" s="277"/>
      <c r="BM86" s="277"/>
      <c r="BN86" s="277"/>
      <c r="BO86" s="277"/>
      <c r="BP86" s="277"/>
      <c r="BQ86" s="277"/>
      <c r="BR86" s="277"/>
      <c r="BS86" s="277"/>
      <c r="BT86" s="277"/>
      <c r="BU86" s="277"/>
      <c r="BV86" s="277"/>
      <c r="BW86" s="277"/>
      <c r="BX86" s="277"/>
      <c r="BY86" s="277"/>
      <c r="BZ86" s="277"/>
      <c r="CA86" s="277"/>
      <c r="CB86" s="277"/>
      <c r="CC86" s="277"/>
      <c r="CD86" s="277"/>
      <c r="CE86" s="277"/>
      <c r="CF86" s="277"/>
      <c r="CG86" s="277"/>
      <c r="CH86" s="277"/>
      <c r="CI86" s="277"/>
      <c r="CJ86" s="277"/>
      <c r="CK86" s="277"/>
      <c r="CL86" s="277"/>
      <c r="CM86" s="277"/>
      <c r="CN86" s="277"/>
      <c r="CO86" s="277"/>
      <c r="CP86" s="277"/>
      <c r="CQ86" s="277"/>
      <c r="CR86" s="277"/>
      <c r="CS86" s="277"/>
      <c r="CT86" s="277"/>
      <c r="CU86" s="277"/>
      <c r="CV86" s="277"/>
      <c r="CW86" s="277"/>
      <c r="CX86" s="277"/>
      <c r="CY86" s="277"/>
      <c r="CZ86" s="277"/>
      <c r="DA86" s="277"/>
      <c r="DB86" s="277"/>
      <c r="DC86" s="277"/>
      <c r="DD86" s="277"/>
      <c r="DE86" s="277"/>
      <c r="DF86" s="277"/>
      <c r="DG86" s="277"/>
      <c r="DH86" s="277"/>
      <c r="DI86" s="277"/>
      <c r="DJ86" s="277"/>
      <c r="DK86" s="277"/>
      <c r="DL86" s="277"/>
      <c r="DM86" s="277"/>
      <c r="DN86" s="277"/>
      <c r="DO86" s="277"/>
      <c r="DP86" s="277"/>
      <c r="DQ86" s="277"/>
      <c r="DR86" s="277"/>
      <c r="DS86" s="277"/>
      <c r="DT86" s="277"/>
      <c r="DU86" s="277"/>
      <c r="DV86" s="277"/>
      <c r="DW86" s="277"/>
      <c r="DX86" s="277"/>
      <c r="DY86" s="277"/>
      <c r="DZ86" s="277"/>
      <c r="EA86" s="277"/>
      <c r="EB86" s="277"/>
      <c r="EC86" s="277"/>
      <c r="ED86" s="277"/>
      <c r="EE86" s="277"/>
      <c r="EF86" s="277"/>
      <c r="EG86" s="277"/>
      <c r="EH86" s="277"/>
      <c r="EI86" s="277"/>
      <c r="EJ86" s="277"/>
      <c r="EK86" s="277"/>
      <c r="EL86" s="277"/>
      <c r="EM86" s="277"/>
    </row>
    <row r="87" spans="1:143" s="3" customFormat="1" ht="12.5" customHeight="1">
      <c r="A87" s="897" t="str">
        <f t="shared" si="93"/>
        <v>Lein, Samen 21% RP DLG 2014</v>
      </c>
      <c r="B87" s="298">
        <f>IF(D87=""," ",COUNTA($D$8:D87))</f>
        <v>78</v>
      </c>
      <c r="C87" s="327"/>
      <c r="D87" s="479" t="s">
        <v>638</v>
      </c>
      <c r="E87" s="617">
        <f>IF(I87=0," ",ROUND(I87/10,0))</f>
        <v>21</v>
      </c>
      <c r="F87" s="299" t="s">
        <v>969</v>
      </c>
      <c r="G87" s="300"/>
      <c r="H87" s="275">
        <v>910</v>
      </c>
      <c r="I87" s="275">
        <v>207</v>
      </c>
      <c r="J87" s="275">
        <f>I87*0.77</f>
        <v>159.39000000000001</v>
      </c>
      <c r="K87" s="275">
        <v>64</v>
      </c>
      <c r="L87" s="381">
        <f t="shared" ref="L87:L92" si="96">I87*0.0205*AV87+0.0398*AW87*AE87+0.0173*AF87+0.016*$AG87+0.0147*AI87</f>
        <v>12.477544000000002</v>
      </c>
      <c r="M87" s="322">
        <f t="shared" si="84"/>
        <v>17.817522</v>
      </c>
      <c r="N87" s="274">
        <f>IF(I87=0," ",I87*0.0275+3.15)</f>
        <v>8.8424999999999994</v>
      </c>
      <c r="O87" s="301">
        <f>IF(N87=" "," ",N87*0.83)</f>
        <v>7.3392749999999989</v>
      </c>
      <c r="P87" s="274">
        <f>IF(N87=" "," ",I87*0.034+0.09)</f>
        <v>7.1280000000000001</v>
      </c>
      <c r="Q87" s="301">
        <f>IF(N87=" "," ",P87*(4.6*0.85+7.1*0.87)/11.7)</f>
        <v>6.14531076923077</v>
      </c>
      <c r="R87" s="274">
        <f>IF(N87=" "," ",I87*0.0362+0.08)</f>
        <v>7.5734000000000004</v>
      </c>
      <c r="S87" s="301">
        <f>IF(N87=" "," ",R87*0.82)</f>
        <v>6.2101879999999996</v>
      </c>
      <c r="T87" s="274">
        <f>IF(N87=" "," ",I87*0.022-1.52)</f>
        <v>3.0339999999999994</v>
      </c>
      <c r="U87" s="301">
        <f>IF(N87=" "," ",T87*0.86)</f>
        <v>2.6092399999999993</v>
      </c>
      <c r="V87" s="274">
        <v>2.7</v>
      </c>
      <c r="W87" s="274">
        <v>5.5</v>
      </c>
      <c r="X87" s="301">
        <f>W87*0.4</f>
        <v>2.2000000000000002</v>
      </c>
      <c r="Y87" s="301">
        <f t="shared" ref="Y87:Y92" si="97">W87*0.65</f>
        <v>3.5750000000000002</v>
      </c>
      <c r="Z87" s="274">
        <v>4.0999999999999996</v>
      </c>
      <c r="AA87" s="303">
        <v>0.7</v>
      </c>
      <c r="AB87" s="276">
        <v>8.5</v>
      </c>
      <c r="AC87" s="311">
        <f>IF($I87=""," ",$I87*0.0184-0.16)</f>
        <v>3.6487999999999996</v>
      </c>
      <c r="AD87" s="311">
        <f>AC87*0.85</f>
        <v>3.1014799999999996</v>
      </c>
      <c r="AE87" s="321">
        <v>337</v>
      </c>
      <c r="AF87" s="321">
        <v>0</v>
      </c>
      <c r="AG87" s="321">
        <v>32</v>
      </c>
      <c r="AH87" s="321">
        <v>46</v>
      </c>
      <c r="AI87" s="612">
        <f t="shared" ref="AI87:AI92" si="98">(H87-AH87)*AU87-I87*AV87-AE87*AW87-AF87-AG87</f>
        <v>171.98999999999998</v>
      </c>
      <c r="AJ87" s="321">
        <f t="shared" si="80"/>
        <v>256</v>
      </c>
      <c r="AK87" s="311">
        <f>AL87+AM87</f>
        <v>239.26999999999998</v>
      </c>
      <c r="AL87" s="311">
        <f>66*AE87/100</f>
        <v>222.42</v>
      </c>
      <c r="AM87" s="311">
        <f>5*AE87/100</f>
        <v>16.850000000000001</v>
      </c>
      <c r="AN87" s="321"/>
      <c r="AO87" s="321"/>
      <c r="AP87" s="321"/>
      <c r="AQ87" s="612">
        <f t="shared" si="87"/>
        <v>302.29199999999992</v>
      </c>
      <c r="AR87" s="847">
        <f t="shared" si="81"/>
        <v>771.13799999999992</v>
      </c>
      <c r="AS87" s="321">
        <f t="shared" ref="AS87:AS92" si="99">AX87*K87+AY87*AT87-AF87-AG87</f>
        <v>193.28000000000003</v>
      </c>
      <c r="AT87" s="321">
        <f t="shared" si="82"/>
        <v>256</v>
      </c>
      <c r="AU87" s="852">
        <v>0.6</v>
      </c>
      <c r="AV87" s="852">
        <v>0.77</v>
      </c>
      <c r="AW87" s="852">
        <v>0.46</v>
      </c>
      <c r="AX87" s="852">
        <v>0.28000000000000003</v>
      </c>
      <c r="AY87" s="852">
        <v>0.81</v>
      </c>
      <c r="AZ87" s="303">
        <f>0.3*H87/1000</f>
        <v>0.27300000000000002</v>
      </c>
      <c r="BA87" s="321">
        <v>158</v>
      </c>
      <c r="BB87" s="321">
        <v>237</v>
      </c>
      <c r="BC87" s="381">
        <f t="shared" si="83"/>
        <v>23.121791060000003</v>
      </c>
      <c r="BD87" s="277"/>
      <c r="BE87" s="277"/>
      <c r="BF87" s="277"/>
      <c r="BG87" s="277"/>
      <c r="BH87" s="277"/>
      <c r="BI87" s="277"/>
      <c r="BJ87" s="277"/>
      <c r="BK87" s="277"/>
      <c r="BL87" s="277"/>
      <c r="BM87" s="277"/>
      <c r="BN87" s="277"/>
      <c r="BO87" s="277"/>
      <c r="BP87" s="277"/>
      <c r="BQ87" s="277"/>
      <c r="BR87" s="277"/>
      <c r="BS87" s="277"/>
      <c r="BT87" s="277"/>
      <c r="BU87" s="277"/>
      <c r="BV87" s="277"/>
      <c r="BW87" s="277"/>
      <c r="BX87" s="277"/>
      <c r="BY87" s="277"/>
      <c r="BZ87" s="277"/>
      <c r="CA87" s="277"/>
      <c r="CB87" s="277"/>
      <c r="CC87" s="277"/>
      <c r="CD87" s="277"/>
      <c r="CE87" s="277"/>
      <c r="CF87" s="277"/>
      <c r="CG87" s="277"/>
      <c r="CH87" s="277"/>
      <c r="CI87" s="277"/>
      <c r="CJ87" s="277"/>
      <c r="CK87" s="277"/>
      <c r="CL87" s="277"/>
      <c r="CM87" s="277"/>
      <c r="CN87" s="277"/>
      <c r="CO87" s="277"/>
      <c r="CP87" s="277"/>
      <c r="CQ87" s="277"/>
      <c r="CR87" s="277"/>
      <c r="CS87" s="277"/>
      <c r="CT87" s="277"/>
      <c r="CU87" s="277"/>
      <c r="CV87" s="277"/>
      <c r="CW87" s="277"/>
      <c r="CX87" s="277"/>
      <c r="CY87" s="277"/>
      <c r="CZ87" s="277"/>
      <c r="DA87" s="277"/>
      <c r="DB87" s="277"/>
      <c r="DC87" s="277"/>
      <c r="DD87" s="277"/>
      <c r="DE87" s="277"/>
      <c r="DF87" s="277"/>
      <c r="DG87" s="277"/>
      <c r="DH87" s="277"/>
      <c r="DI87" s="277"/>
      <c r="DJ87" s="277"/>
      <c r="DK87" s="277"/>
      <c r="DL87" s="277"/>
      <c r="DM87" s="277"/>
      <c r="DN87" s="277"/>
      <c r="DO87" s="277"/>
      <c r="DP87" s="277"/>
      <c r="DQ87" s="277"/>
      <c r="DR87" s="277"/>
      <c r="DS87" s="277"/>
      <c r="DT87" s="277"/>
      <c r="DU87" s="277"/>
      <c r="DV87" s="277"/>
      <c r="DW87" s="277"/>
      <c r="DX87" s="277"/>
      <c r="DY87" s="277"/>
      <c r="DZ87" s="277"/>
      <c r="EA87" s="277"/>
      <c r="EB87" s="277"/>
      <c r="EC87" s="277"/>
      <c r="ED87" s="277"/>
      <c r="EE87" s="277"/>
      <c r="EF87" s="277"/>
      <c r="EG87" s="277"/>
      <c r="EH87" s="277"/>
      <c r="EI87" s="277"/>
      <c r="EJ87" s="277"/>
      <c r="EK87" s="277"/>
      <c r="EL87" s="277"/>
      <c r="EM87" s="277"/>
    </row>
    <row r="88" spans="1:143" s="3" customFormat="1" ht="12.5" customHeight="1">
      <c r="A88" s="897" t="str">
        <f t="shared" si="93"/>
        <v>Leinextaktionschrot 34% RP DLG 2014</v>
      </c>
      <c r="B88" s="298">
        <f>IF(D88=""," ",COUNTA($D$8:D88))</f>
        <v>79</v>
      </c>
      <c r="C88" s="327"/>
      <c r="D88" s="479" t="s">
        <v>637</v>
      </c>
      <c r="E88" s="617">
        <f>IF(I88=0," ",ROUND(I88/10,0))</f>
        <v>34</v>
      </c>
      <c r="F88" s="299" t="s">
        <v>969</v>
      </c>
      <c r="G88" s="300"/>
      <c r="H88" s="275">
        <v>890</v>
      </c>
      <c r="I88" s="275">
        <v>338</v>
      </c>
      <c r="J88" s="275">
        <f>I88*0.66</f>
        <v>223.08</v>
      </c>
      <c r="K88" s="275">
        <v>93</v>
      </c>
      <c r="L88" s="381">
        <f t="shared" si="96"/>
        <v>10.85977428</v>
      </c>
      <c r="M88" s="322">
        <f t="shared" si="84"/>
        <v>11.677625260000001</v>
      </c>
      <c r="N88" s="274">
        <f>IF(I88=0," ",I88*0.0275+3.15)</f>
        <v>12.445</v>
      </c>
      <c r="O88" s="301">
        <f>IF(N88=" "," ",N88*0.64)</f>
        <v>7.9648000000000003</v>
      </c>
      <c r="P88" s="274">
        <f>IF(N88=" "," ",I88*0.034+0.09)</f>
        <v>11.582000000000001</v>
      </c>
      <c r="Q88" s="301">
        <f>IF(N88=" "," ",P88*(5.3*0.61+5.3*0.73)/10.6)</f>
        <v>7.7599400000000003</v>
      </c>
      <c r="R88" s="274">
        <f>IF(N88=" "," ",I88*0.0362+0.08)</f>
        <v>12.315600000000002</v>
      </c>
      <c r="S88" s="301">
        <f>IF(N88=" "," ",R88*0.85)</f>
        <v>10.468260000000001</v>
      </c>
      <c r="T88" s="274">
        <f>IF(N88=" "," ",I88*0.022-1.52)</f>
        <v>5.9160000000000004</v>
      </c>
      <c r="U88" s="301">
        <f>IF(N88=" "," ",T88*0.66)</f>
        <v>3.9045600000000005</v>
      </c>
      <c r="V88" s="274">
        <v>4.0999999999999996</v>
      </c>
      <c r="W88" s="274">
        <v>8.5</v>
      </c>
      <c r="X88" s="301">
        <f>W88*0.3</f>
        <v>2.5499999999999998</v>
      </c>
      <c r="Y88" s="301">
        <f t="shared" si="97"/>
        <v>5.5250000000000004</v>
      </c>
      <c r="Z88" s="274">
        <v>5.0999999999999996</v>
      </c>
      <c r="AA88" s="303">
        <v>0.9</v>
      </c>
      <c r="AB88" s="276">
        <v>8.5</v>
      </c>
      <c r="AC88" s="311">
        <f>IF($I88=""," ",$I88*0.0184-0.16)</f>
        <v>6.0591999999999997</v>
      </c>
      <c r="AD88" s="311">
        <f>AC88*0.61</f>
        <v>3.6961119999999998</v>
      </c>
      <c r="AE88" s="321">
        <v>24</v>
      </c>
      <c r="AF88" s="321">
        <v>36</v>
      </c>
      <c r="AG88" s="321">
        <v>48</v>
      </c>
      <c r="AH88" s="321">
        <f>66*H88/1000</f>
        <v>58.74</v>
      </c>
      <c r="AI88" s="612">
        <f t="shared" si="98"/>
        <v>293.41239999999993</v>
      </c>
      <c r="AJ88" s="321">
        <f t="shared" si="80"/>
        <v>340.26</v>
      </c>
      <c r="AK88" s="311">
        <f>AL88+AM88</f>
        <v>17.04</v>
      </c>
      <c r="AL88" s="311">
        <f>66*AE88/100</f>
        <v>15.84</v>
      </c>
      <c r="AM88" s="311">
        <f>5*AE88/100</f>
        <v>1.2</v>
      </c>
      <c r="AN88" s="321"/>
      <c r="AO88" s="321"/>
      <c r="AP88" s="321"/>
      <c r="AQ88" s="612">
        <f t="shared" si="87"/>
        <v>219.39</v>
      </c>
      <c r="AR88" s="847">
        <f t="shared" si="81"/>
        <v>1175.434</v>
      </c>
      <c r="AS88" s="321">
        <f t="shared" si="99"/>
        <v>246.81060000000002</v>
      </c>
      <c r="AT88" s="321">
        <f t="shared" si="82"/>
        <v>376.26</v>
      </c>
      <c r="AU88" s="852">
        <v>0.74</v>
      </c>
      <c r="AV88" s="852">
        <v>0.66</v>
      </c>
      <c r="AW88" s="852">
        <v>0.61</v>
      </c>
      <c r="AX88" s="852">
        <v>0.28000000000000003</v>
      </c>
      <c r="AY88" s="852">
        <v>0.81</v>
      </c>
      <c r="AZ88" s="303">
        <f>0.7*H88/1000</f>
        <v>0.623</v>
      </c>
      <c r="BA88" s="321">
        <v>103</v>
      </c>
      <c r="BB88" s="321">
        <v>215</v>
      </c>
      <c r="BC88" s="381">
        <f t="shared" si="83"/>
        <v>-2.8923335602000004</v>
      </c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N88" s="277"/>
      <c r="BO88" s="277"/>
      <c r="BP88" s="277"/>
      <c r="BQ88" s="277"/>
      <c r="BR88" s="277"/>
      <c r="BS88" s="277"/>
      <c r="BT88" s="277"/>
      <c r="BU88" s="277"/>
      <c r="BV88" s="277"/>
      <c r="BW88" s="277"/>
      <c r="BX88" s="277"/>
      <c r="BY88" s="277"/>
      <c r="BZ88" s="277"/>
      <c r="CA88" s="277"/>
      <c r="CB88" s="277"/>
      <c r="CC88" s="277"/>
      <c r="CD88" s="277"/>
      <c r="CE88" s="277"/>
      <c r="CF88" s="277"/>
      <c r="CG88" s="277"/>
      <c r="CH88" s="277"/>
      <c r="CI88" s="277"/>
      <c r="CJ88" s="277"/>
      <c r="CK88" s="277"/>
      <c r="CL88" s="277"/>
      <c r="CM88" s="277"/>
      <c r="CN88" s="277"/>
      <c r="CO88" s="277"/>
      <c r="CP88" s="277"/>
      <c r="CQ88" s="277"/>
      <c r="CR88" s="277"/>
      <c r="CS88" s="277"/>
      <c r="CT88" s="277"/>
      <c r="CU88" s="277"/>
      <c r="CV88" s="277"/>
      <c r="CW88" s="277"/>
      <c r="CX88" s="277"/>
      <c r="CY88" s="277"/>
      <c r="CZ88" s="277"/>
      <c r="DA88" s="277"/>
      <c r="DB88" s="277"/>
      <c r="DC88" s="277"/>
      <c r="DD88" s="277"/>
      <c r="DE88" s="277"/>
      <c r="DF88" s="277"/>
      <c r="DG88" s="277"/>
      <c r="DH88" s="277"/>
      <c r="DI88" s="277"/>
      <c r="DJ88" s="277"/>
      <c r="DK88" s="277"/>
      <c r="DL88" s="277"/>
      <c r="DM88" s="277"/>
      <c r="DN88" s="277"/>
      <c r="DO88" s="277"/>
      <c r="DP88" s="277"/>
      <c r="DQ88" s="277"/>
      <c r="DR88" s="277"/>
      <c r="DS88" s="277"/>
      <c r="DT88" s="277"/>
      <c r="DU88" s="277"/>
      <c r="DV88" s="277"/>
      <c r="DW88" s="277"/>
      <c r="DX88" s="277"/>
      <c r="DY88" s="277"/>
      <c r="DZ88" s="277"/>
      <c r="EA88" s="277"/>
      <c r="EB88" s="277"/>
      <c r="EC88" s="277"/>
      <c r="ED88" s="277"/>
      <c r="EE88" s="277"/>
      <c r="EF88" s="277"/>
      <c r="EG88" s="277"/>
      <c r="EH88" s="277"/>
      <c r="EI88" s="277"/>
      <c r="EJ88" s="277"/>
      <c r="EK88" s="277"/>
      <c r="EL88" s="277"/>
      <c r="EM88" s="277"/>
    </row>
    <row r="89" spans="1:143" s="3" customFormat="1" ht="12.5" customHeight="1">
      <c r="A89" s="897" t="str">
        <f t="shared" si="93"/>
        <v>Leinkuchen / Expeller 4-8% Fett 33% RP DLG 2014</v>
      </c>
      <c r="B89" s="298">
        <f>IF(D89=""," ",COUNTA($D$8:D89))</f>
        <v>80</v>
      </c>
      <c r="C89" s="327"/>
      <c r="D89" s="479" t="s">
        <v>639</v>
      </c>
      <c r="E89" s="617">
        <f>IF(I89=0," ",ROUND(I89/10,0))</f>
        <v>33</v>
      </c>
      <c r="F89" s="299" t="s">
        <v>969</v>
      </c>
      <c r="G89" s="300"/>
      <c r="H89" s="275">
        <v>900</v>
      </c>
      <c r="I89" s="275">
        <v>333</v>
      </c>
      <c r="J89" s="275">
        <f>I89*0.75</f>
        <v>249.75</v>
      </c>
      <c r="K89" s="275">
        <v>95</v>
      </c>
      <c r="L89" s="381">
        <f t="shared" si="96"/>
        <v>11.627713</v>
      </c>
      <c r="M89" s="322">
        <f t="shared" si="84"/>
        <v>12.511579000000001</v>
      </c>
      <c r="N89" s="274">
        <f>IF(I89=0," ",I89*0.0275+3.15)</f>
        <v>12.307500000000001</v>
      </c>
      <c r="O89" s="301">
        <f>IF(N89=" "," ",N89*0.82)</f>
        <v>10.09215</v>
      </c>
      <c r="P89" s="274">
        <f>IF(N89=" "," ",I89*0.0321+0.9)</f>
        <v>11.5893</v>
      </c>
      <c r="Q89" s="301">
        <f>IF(N89=" "," ",P89*(6*0.85+5.9*0.85)/11.9)</f>
        <v>9.8509049999999991</v>
      </c>
      <c r="R89" s="274">
        <f>IF(N89=" "," ",I89*0.0362+0.08)</f>
        <v>12.134600000000001</v>
      </c>
      <c r="S89" s="301">
        <f>IF(N89=" "," ",R89*0.8)</f>
        <v>9.7076800000000016</v>
      </c>
      <c r="T89" s="274">
        <f>IF(N89=" "," ",I89*0.022-1.52)</f>
        <v>5.8059999999999992</v>
      </c>
      <c r="U89" s="301">
        <f>IF(N89=" "," ",T89*0.84)</f>
        <v>4.8770399999999992</v>
      </c>
      <c r="V89" s="274">
        <v>4.0999999999999996</v>
      </c>
      <c r="W89" s="274">
        <v>8.1</v>
      </c>
      <c r="X89" s="301">
        <f>W89*0.35</f>
        <v>2.8349999999999995</v>
      </c>
      <c r="Y89" s="301">
        <f t="shared" si="97"/>
        <v>5.2649999999999997</v>
      </c>
      <c r="Z89" s="274">
        <v>5</v>
      </c>
      <c r="AA89" s="303">
        <v>0.9</v>
      </c>
      <c r="AB89" s="276">
        <v>10.3</v>
      </c>
      <c r="AC89" s="311">
        <f>IF($I89=""," ",$I89*0.0184-0.16)</f>
        <v>5.9672000000000001</v>
      </c>
      <c r="AD89" s="311">
        <f>AC89*0.85</f>
        <v>5.07212</v>
      </c>
      <c r="AE89" s="321">
        <v>72</v>
      </c>
      <c r="AF89" s="321">
        <v>0</v>
      </c>
      <c r="AG89" s="321">
        <v>40</v>
      </c>
      <c r="AH89" s="321">
        <v>59</v>
      </c>
      <c r="AI89" s="612">
        <f t="shared" si="98"/>
        <v>280.25999999999993</v>
      </c>
      <c r="AJ89" s="321">
        <f t="shared" si="80"/>
        <v>341</v>
      </c>
      <c r="AK89" s="311">
        <f>AL89+AM89</f>
        <v>38.160000000000004</v>
      </c>
      <c r="AL89" s="311">
        <f>48*AE89/100</f>
        <v>34.56</v>
      </c>
      <c r="AM89" s="311">
        <f>5*AE89/100</f>
        <v>3.6</v>
      </c>
      <c r="AN89" s="321"/>
      <c r="AO89" s="321"/>
      <c r="AP89" s="321"/>
      <c r="AQ89" s="612">
        <f t="shared" si="87"/>
        <v>283.71910000000003</v>
      </c>
      <c r="AR89" s="847">
        <f t="shared" si="81"/>
        <v>1158.0740000000001</v>
      </c>
      <c r="AS89" s="321">
        <f t="shared" si="99"/>
        <v>262.81000000000006</v>
      </c>
      <c r="AT89" s="321">
        <f t="shared" si="82"/>
        <v>341</v>
      </c>
      <c r="AU89" s="852">
        <v>0.73</v>
      </c>
      <c r="AV89" s="852">
        <v>0.75</v>
      </c>
      <c r="AW89" s="852">
        <v>0.61</v>
      </c>
      <c r="AX89" s="852">
        <v>0.28000000000000003</v>
      </c>
      <c r="AY89" s="852">
        <v>0.81</v>
      </c>
      <c r="AZ89" s="303">
        <f>0.6*H89/1000</f>
        <v>0.54</v>
      </c>
      <c r="BA89" s="321">
        <f>BA88*H89/H88*K88/K89</f>
        <v>101.96451803666471</v>
      </c>
      <c r="BB89" s="321">
        <f>BB88/H88*H89*K89/K88</f>
        <v>222.09133744110184</v>
      </c>
      <c r="BC89" s="381">
        <f t="shared" si="83"/>
        <v>-0.12554732999999851</v>
      </c>
      <c r="BD89" s="277"/>
      <c r="BE89" s="277"/>
      <c r="BF89" s="277"/>
      <c r="BG89" s="277"/>
      <c r="BH89" s="277"/>
      <c r="BI89" s="277"/>
      <c r="BJ89" s="277"/>
      <c r="BK89" s="277"/>
      <c r="BL89" s="277"/>
      <c r="BM89" s="277"/>
      <c r="BN89" s="277"/>
      <c r="BO89" s="277"/>
      <c r="BP89" s="277"/>
      <c r="BQ89" s="277"/>
      <c r="BR89" s="277"/>
      <c r="BS89" s="277"/>
      <c r="BT89" s="277"/>
      <c r="BU89" s="277"/>
      <c r="BV89" s="277"/>
      <c r="BW89" s="277"/>
      <c r="BX89" s="277"/>
      <c r="BY89" s="277"/>
      <c r="BZ89" s="277"/>
      <c r="CA89" s="277"/>
      <c r="CB89" s="277"/>
      <c r="CC89" s="277"/>
      <c r="CD89" s="277"/>
      <c r="CE89" s="277"/>
      <c r="CF89" s="277"/>
      <c r="CG89" s="277"/>
      <c r="CH89" s="277"/>
      <c r="CI89" s="277"/>
      <c r="CJ89" s="277"/>
      <c r="CK89" s="277"/>
      <c r="CL89" s="277"/>
      <c r="CM89" s="277"/>
      <c r="CN89" s="277"/>
      <c r="CO89" s="277"/>
      <c r="CP89" s="277"/>
      <c r="CQ89" s="277"/>
      <c r="CR89" s="277"/>
      <c r="CS89" s="277"/>
      <c r="CT89" s="277"/>
      <c r="CU89" s="277"/>
      <c r="CV89" s="277"/>
      <c r="CW89" s="277"/>
      <c r="CX89" s="277"/>
      <c r="CY89" s="277"/>
      <c r="CZ89" s="277"/>
      <c r="DA89" s="277"/>
      <c r="DB89" s="277"/>
      <c r="DC89" s="277"/>
      <c r="DD89" s="277"/>
      <c r="DE89" s="277"/>
      <c r="DF89" s="277"/>
      <c r="DG89" s="277"/>
      <c r="DH89" s="277"/>
      <c r="DI89" s="277"/>
      <c r="DJ89" s="277"/>
      <c r="DK89" s="277"/>
      <c r="DL89" s="277"/>
      <c r="DM89" s="277"/>
      <c r="DN89" s="277"/>
      <c r="DO89" s="277"/>
      <c r="DP89" s="277"/>
      <c r="DQ89" s="277"/>
      <c r="DR89" s="277"/>
      <c r="DS89" s="277"/>
      <c r="DT89" s="277"/>
      <c r="DU89" s="277"/>
      <c r="DV89" s="277"/>
      <c r="DW89" s="277"/>
      <c r="DX89" s="277"/>
      <c r="DY89" s="277"/>
      <c r="DZ89" s="277"/>
      <c r="EA89" s="277"/>
      <c r="EB89" s="277"/>
      <c r="EC89" s="277"/>
      <c r="ED89" s="277"/>
      <c r="EE89" s="277"/>
      <c r="EF89" s="277"/>
      <c r="EG89" s="277"/>
      <c r="EH89" s="277"/>
      <c r="EI89" s="277"/>
      <c r="EJ89" s="277"/>
      <c r="EK89" s="277"/>
      <c r="EL89" s="277"/>
      <c r="EM89" s="277"/>
    </row>
    <row r="90" spans="1:143" s="3" customFormat="1" ht="12.5" customHeight="1">
      <c r="A90" s="897" t="str">
        <f t="shared" si="93"/>
        <v>Lupinen blau 30% RP DLG 2014</v>
      </c>
      <c r="B90" s="298">
        <f>IF(D90=""," ",COUNTA($D$8:D90))</f>
        <v>81</v>
      </c>
      <c r="C90" s="327"/>
      <c r="D90" s="479" t="s">
        <v>251</v>
      </c>
      <c r="E90" s="620">
        <f t="shared" si="0"/>
        <v>30</v>
      </c>
      <c r="F90" s="299" t="s">
        <v>969</v>
      </c>
      <c r="G90" s="300"/>
      <c r="H90" s="275">
        <v>880</v>
      </c>
      <c r="I90" s="275">
        <v>295</v>
      </c>
      <c r="J90" s="275">
        <f>I90*0.85</f>
        <v>250.75</v>
      </c>
      <c r="K90" s="275">
        <v>143</v>
      </c>
      <c r="L90" s="381">
        <f t="shared" si="96"/>
        <v>13.468937999999998</v>
      </c>
      <c r="M90" s="322">
        <f t="shared" si="84"/>
        <v>10.297074000000002</v>
      </c>
      <c r="N90" s="274">
        <f>IF(I90=0," ",(I90/H90*880*0.0375+2.56)/880*H90)</f>
        <v>13.6225</v>
      </c>
      <c r="O90" s="301">
        <f>N90*0.84</f>
        <v>11.4429</v>
      </c>
      <c r="P90" s="274">
        <f>IF(N90=" "," ",(I90/H90*880*0.0331-3.93)/880*H90)</f>
        <v>5.8345000000000002</v>
      </c>
      <c r="Q90" s="301">
        <f>P90*(1.8*0.81+4.4*0.91)/6.2</f>
        <v>5.1400062903225816</v>
      </c>
      <c r="R90" s="274">
        <f>IF(N90=" "," ",(I90/H90*880*0.028+1.65)/880*H90)</f>
        <v>9.91</v>
      </c>
      <c r="S90" s="301">
        <f>R90*0.83</f>
        <v>8.2252999999999989</v>
      </c>
      <c r="T90" s="274">
        <f>IF(N90=" "," ",(I90/H90*880*0.0069+0.53)/880*H90)</f>
        <v>2.5655000000000001</v>
      </c>
      <c r="U90" s="301">
        <f>T90*0.85</f>
        <v>2.1806749999999999</v>
      </c>
      <c r="V90" s="274">
        <v>1.8</v>
      </c>
      <c r="W90" s="274">
        <v>2.8</v>
      </c>
      <c r="X90" s="301">
        <f>W90*0.5</f>
        <v>1.4</v>
      </c>
      <c r="Y90" s="301">
        <f t="shared" si="97"/>
        <v>1.8199999999999998</v>
      </c>
      <c r="Z90" s="274">
        <v>1.7</v>
      </c>
      <c r="AA90" s="303">
        <v>0.35</v>
      </c>
      <c r="AB90" s="276">
        <v>8.4</v>
      </c>
      <c r="AC90" s="311">
        <f>IF($I90=""," ",($I90/H90*880*0.0045+0.6)/880*H90)</f>
        <v>1.9274999999999998</v>
      </c>
      <c r="AD90" s="311">
        <f>AC90*0.81</f>
        <v>1.561275</v>
      </c>
      <c r="AE90" s="321">
        <v>48</v>
      </c>
      <c r="AF90" s="321">
        <v>53</v>
      </c>
      <c r="AG90" s="321">
        <v>49</v>
      </c>
      <c r="AH90" s="321">
        <v>32</v>
      </c>
      <c r="AI90" s="612">
        <f t="shared" si="98"/>
        <v>359.89</v>
      </c>
      <c r="AJ90" s="321">
        <f t="shared" si="80"/>
        <v>309</v>
      </c>
      <c r="AK90" s="311">
        <f>78*AE90/$AE$92</f>
        <v>48.623376623376622</v>
      </c>
      <c r="AL90" s="311"/>
      <c r="AM90" s="311"/>
      <c r="AN90" s="321"/>
      <c r="AO90" s="321"/>
      <c r="AP90" s="321"/>
      <c r="AQ90" s="612">
        <f t="shared" si="87"/>
        <v>194.28349999999998</v>
      </c>
      <c r="AR90" s="847">
        <f t="shared" si="81"/>
        <v>856.37199999999996</v>
      </c>
      <c r="AS90" s="321">
        <f t="shared" si="99"/>
        <v>349.06000000000006</v>
      </c>
      <c r="AT90" s="321">
        <f t="shared" si="82"/>
        <v>362</v>
      </c>
      <c r="AU90" s="852">
        <v>0.88</v>
      </c>
      <c r="AV90" s="852">
        <v>0.85</v>
      </c>
      <c r="AW90" s="852">
        <v>0.7</v>
      </c>
      <c r="AX90" s="852">
        <v>0.8</v>
      </c>
      <c r="AY90" s="852">
        <v>0.93</v>
      </c>
      <c r="AZ90" s="303">
        <f>1.2*H90/1000</f>
        <v>1.056</v>
      </c>
      <c r="BA90" s="321">
        <f>103*H90/1000*K90/$K$92</f>
        <v>113.69754385964913</v>
      </c>
      <c r="BB90" s="321">
        <f>175*H90/1000*K90/$K$92</f>
        <v>193.17543859649123</v>
      </c>
      <c r="BC90" s="381">
        <f t="shared" si="83"/>
        <v>-3.1711359799999981</v>
      </c>
      <c r="BD90" s="277"/>
      <c r="BE90" s="277"/>
      <c r="BF90" s="277"/>
      <c r="BG90" s="277"/>
      <c r="BH90" s="277"/>
      <c r="BI90" s="277"/>
      <c r="BJ90" s="277"/>
      <c r="BK90" s="277"/>
      <c r="BL90" s="277"/>
      <c r="BM90" s="277"/>
      <c r="BN90" s="277"/>
      <c r="BO90" s="277"/>
      <c r="BP90" s="277"/>
      <c r="BQ90" s="277"/>
      <c r="BR90" s="277"/>
      <c r="BS90" s="277"/>
      <c r="BT90" s="277"/>
      <c r="BU90" s="277"/>
      <c r="BV90" s="277"/>
      <c r="BW90" s="277"/>
      <c r="BX90" s="277"/>
      <c r="BY90" s="277"/>
      <c r="BZ90" s="277"/>
      <c r="CA90" s="277"/>
      <c r="CB90" s="277"/>
      <c r="CC90" s="277"/>
      <c r="CD90" s="277"/>
      <c r="CE90" s="277"/>
      <c r="CF90" s="277"/>
      <c r="CG90" s="277"/>
      <c r="CH90" s="277"/>
      <c r="CI90" s="277"/>
      <c r="CJ90" s="277"/>
      <c r="CK90" s="277"/>
      <c r="CL90" s="277"/>
      <c r="CM90" s="277"/>
      <c r="CN90" s="277"/>
      <c r="CO90" s="277"/>
      <c r="CP90" s="277"/>
      <c r="CQ90" s="277"/>
      <c r="CR90" s="277"/>
      <c r="CS90" s="277"/>
      <c r="CT90" s="277"/>
      <c r="CU90" s="277"/>
      <c r="CV90" s="277"/>
      <c r="CW90" s="277"/>
      <c r="CX90" s="277"/>
      <c r="CY90" s="277"/>
      <c r="CZ90" s="277"/>
      <c r="DA90" s="277"/>
      <c r="DB90" s="277"/>
      <c r="DC90" s="277"/>
      <c r="DD90" s="277"/>
      <c r="DE90" s="277"/>
      <c r="DF90" s="277"/>
      <c r="DG90" s="277"/>
      <c r="DH90" s="277"/>
      <c r="DI90" s="277"/>
      <c r="DJ90" s="277"/>
      <c r="DK90" s="277"/>
      <c r="DL90" s="277"/>
      <c r="DM90" s="277"/>
      <c r="DN90" s="277"/>
      <c r="DO90" s="277"/>
      <c r="DP90" s="277"/>
      <c r="DQ90" s="277"/>
      <c r="DR90" s="277"/>
      <c r="DS90" s="277"/>
      <c r="DT90" s="277"/>
      <c r="DU90" s="277"/>
      <c r="DV90" s="277"/>
      <c r="DW90" s="277"/>
      <c r="DX90" s="277"/>
      <c r="DY90" s="277"/>
      <c r="DZ90" s="277"/>
      <c r="EA90" s="277"/>
      <c r="EB90" s="277"/>
      <c r="EC90" s="277"/>
      <c r="ED90" s="277"/>
      <c r="EE90" s="277"/>
      <c r="EF90" s="277"/>
      <c r="EG90" s="277"/>
      <c r="EH90" s="277"/>
      <c r="EI90" s="277"/>
      <c r="EJ90" s="277"/>
      <c r="EK90" s="277"/>
      <c r="EL90" s="277"/>
      <c r="EM90" s="277"/>
    </row>
    <row r="91" spans="1:143" s="3" customFormat="1" ht="12.5" customHeight="1">
      <c r="A91" s="897" t="str">
        <f t="shared" si="93"/>
        <v>Lupinen gelb 38% RP DLG 2014</v>
      </c>
      <c r="B91" s="298">
        <f>IF(D91=""," ",COUNTA($D$8:D91))</f>
        <v>82</v>
      </c>
      <c r="C91" s="327"/>
      <c r="D91" s="479" t="s">
        <v>253</v>
      </c>
      <c r="E91" s="617">
        <f t="shared" si="0"/>
        <v>38</v>
      </c>
      <c r="F91" s="299" t="s">
        <v>969</v>
      </c>
      <c r="G91" s="300"/>
      <c r="H91" s="275">
        <v>880</v>
      </c>
      <c r="I91" s="275">
        <v>378</v>
      </c>
      <c r="J91" s="275">
        <f>I91*0.88</f>
        <v>332.64</v>
      </c>
      <c r="K91" s="275">
        <v>148</v>
      </c>
      <c r="L91" s="381">
        <f t="shared" si="96"/>
        <v>13.606580000000003</v>
      </c>
      <c r="M91" s="322">
        <f t="shared" si="84"/>
        <v>10.538852</v>
      </c>
      <c r="N91" s="274">
        <f>IF(I91=0," ",I91*0.0428+1.85)</f>
        <v>18.028400000000001</v>
      </c>
      <c r="O91" s="301">
        <f>N91*0.84</f>
        <v>15.143856000000001</v>
      </c>
      <c r="P91" s="274">
        <f>IF(N91=" "," ",(I91/H91*880*0.0331-3.93)/880*H91)</f>
        <v>8.5817999999999994</v>
      </c>
      <c r="Q91" s="301">
        <f>P91*(3.1*0.81+8.8*0.91)/11.9</f>
        <v>7.5858785042016814</v>
      </c>
      <c r="R91" s="274">
        <f>IF(N91=" "," ",(I91/H91*880*0.0225+3.93)/880*H91)</f>
        <v>12.434999999999999</v>
      </c>
      <c r="S91" s="301">
        <f>R91*0.83</f>
        <v>10.321049999999998</v>
      </c>
      <c r="T91" s="274">
        <f>IF(N91=" "," ",(I91/H91*880*0.0069+0.53)/880*H91)</f>
        <v>3.1382000000000003</v>
      </c>
      <c r="U91" s="301">
        <f>T91*0.85</f>
        <v>2.6674700000000002</v>
      </c>
      <c r="V91" s="274">
        <v>1.8</v>
      </c>
      <c r="W91" s="274">
        <v>4.9000000000000004</v>
      </c>
      <c r="X91" s="301">
        <f>W91*0.5</f>
        <v>2.4500000000000002</v>
      </c>
      <c r="Y91" s="301">
        <f t="shared" si="97"/>
        <v>3.1850000000000005</v>
      </c>
      <c r="Z91" s="274">
        <v>2.2000000000000002</v>
      </c>
      <c r="AA91" s="303">
        <v>0.35</v>
      </c>
      <c r="AB91" s="276">
        <v>10.5</v>
      </c>
      <c r="AC91" s="311">
        <f>IF($I91=""," ",($I91/H91*880*0.0045+0.6)/880*H91)</f>
        <v>2.3009999999999997</v>
      </c>
      <c r="AD91" s="311">
        <f>AC91*0.81</f>
        <v>1.86381</v>
      </c>
      <c r="AE91" s="321">
        <v>51</v>
      </c>
      <c r="AF91" s="321">
        <v>40</v>
      </c>
      <c r="AG91" s="321">
        <v>48</v>
      </c>
      <c r="AH91" s="321">
        <v>44</v>
      </c>
      <c r="AI91" s="612">
        <f t="shared" si="98"/>
        <v>274.04000000000008</v>
      </c>
      <c r="AJ91" s="321">
        <f t="shared" si="80"/>
        <v>219</v>
      </c>
      <c r="AK91" s="311">
        <f>78*AE91/$AE$92</f>
        <v>51.662337662337663</v>
      </c>
      <c r="AL91" s="311"/>
      <c r="AM91" s="311"/>
      <c r="AN91" s="321"/>
      <c r="AO91" s="321"/>
      <c r="AP91" s="321"/>
      <c r="AQ91" s="612">
        <f t="shared" si="87"/>
        <v>143.08859999999999</v>
      </c>
      <c r="AR91" s="847">
        <f t="shared" si="81"/>
        <v>1088.172</v>
      </c>
      <c r="AS91" s="321">
        <f t="shared" si="99"/>
        <v>271.27</v>
      </c>
      <c r="AT91" s="321">
        <f t="shared" si="82"/>
        <v>259</v>
      </c>
      <c r="AU91" s="852">
        <v>0.87</v>
      </c>
      <c r="AV91" s="852">
        <v>0.88</v>
      </c>
      <c r="AW91" s="852">
        <v>0.64</v>
      </c>
      <c r="AX91" s="852">
        <v>0.8</v>
      </c>
      <c r="AY91" s="852">
        <v>0.93</v>
      </c>
      <c r="AZ91" s="303">
        <f>0.7*H91/1000</f>
        <v>0.61599999999999999</v>
      </c>
      <c r="BA91" s="321">
        <f>103*H91/1000*K91/$K$92</f>
        <v>117.67298245614035</v>
      </c>
      <c r="BB91" s="321">
        <f>175*H91/1000*K91/$K$92</f>
        <v>199.92982456140351</v>
      </c>
      <c r="BC91" s="381">
        <f t="shared" si="83"/>
        <v>-5.5536380400000001</v>
      </c>
      <c r="BD91" s="277"/>
      <c r="BE91" s="277"/>
      <c r="BF91" s="277"/>
      <c r="BG91" s="277"/>
      <c r="BH91" s="277"/>
      <c r="BI91" s="277"/>
      <c r="BJ91" s="277"/>
      <c r="BK91" s="277"/>
      <c r="BL91" s="277"/>
      <c r="BM91" s="277"/>
      <c r="BN91" s="277"/>
      <c r="BO91" s="277"/>
      <c r="BP91" s="277"/>
      <c r="BQ91" s="277"/>
      <c r="BR91" s="277"/>
      <c r="BS91" s="277"/>
      <c r="BT91" s="277"/>
      <c r="BU91" s="277"/>
      <c r="BV91" s="277"/>
      <c r="BW91" s="277"/>
      <c r="BX91" s="277"/>
      <c r="BY91" s="277"/>
      <c r="BZ91" s="277"/>
      <c r="CA91" s="277"/>
      <c r="CB91" s="277"/>
      <c r="CC91" s="277"/>
      <c r="CD91" s="277"/>
      <c r="CE91" s="277"/>
      <c r="CF91" s="277"/>
      <c r="CG91" s="277"/>
      <c r="CH91" s="277"/>
      <c r="CI91" s="277"/>
      <c r="CJ91" s="277"/>
      <c r="CK91" s="277"/>
      <c r="CL91" s="277"/>
      <c r="CM91" s="277"/>
      <c r="CN91" s="277"/>
      <c r="CO91" s="277"/>
      <c r="CP91" s="277"/>
      <c r="CQ91" s="277"/>
      <c r="CR91" s="277"/>
      <c r="CS91" s="277"/>
      <c r="CT91" s="277"/>
      <c r="CU91" s="277"/>
      <c r="CV91" s="277"/>
      <c r="CW91" s="277"/>
      <c r="CX91" s="277"/>
      <c r="CY91" s="277"/>
      <c r="CZ91" s="277"/>
      <c r="DA91" s="277"/>
      <c r="DB91" s="277"/>
      <c r="DC91" s="277"/>
      <c r="DD91" s="277"/>
      <c r="DE91" s="277"/>
      <c r="DF91" s="277"/>
      <c r="DG91" s="277"/>
      <c r="DH91" s="277"/>
      <c r="DI91" s="277"/>
      <c r="DJ91" s="277"/>
      <c r="DK91" s="277"/>
      <c r="DL91" s="277"/>
      <c r="DM91" s="277"/>
      <c r="DN91" s="277"/>
      <c r="DO91" s="277"/>
      <c r="DP91" s="277"/>
      <c r="DQ91" s="277"/>
      <c r="DR91" s="277"/>
      <c r="DS91" s="277"/>
      <c r="DT91" s="277"/>
      <c r="DU91" s="277"/>
      <c r="DV91" s="277"/>
      <c r="DW91" s="277"/>
      <c r="DX91" s="277"/>
      <c r="DY91" s="277"/>
      <c r="DZ91" s="277"/>
      <c r="EA91" s="277"/>
      <c r="EB91" s="277"/>
      <c r="EC91" s="277"/>
      <c r="ED91" s="277"/>
      <c r="EE91" s="277"/>
      <c r="EF91" s="277"/>
      <c r="EG91" s="277"/>
      <c r="EH91" s="277"/>
      <c r="EI91" s="277"/>
      <c r="EJ91" s="277"/>
      <c r="EK91" s="277"/>
      <c r="EL91" s="277"/>
      <c r="EM91" s="277"/>
    </row>
    <row r="92" spans="1:143" s="3" customFormat="1" ht="12.5" customHeight="1">
      <c r="A92" s="897" t="str">
        <f t="shared" si="93"/>
        <v>Lupinen weiß 33% RP DLG 2014</v>
      </c>
      <c r="B92" s="298">
        <f>IF(D92=""," ",COUNTA($D$8:D92))</f>
        <v>83</v>
      </c>
      <c r="C92" s="327"/>
      <c r="D92" s="479" t="s">
        <v>252</v>
      </c>
      <c r="E92" s="617">
        <f t="shared" si="0"/>
        <v>33</v>
      </c>
      <c r="F92" s="299" t="s">
        <v>969</v>
      </c>
      <c r="G92" s="300"/>
      <c r="H92" s="275">
        <v>880</v>
      </c>
      <c r="I92" s="275">
        <v>326</v>
      </c>
      <c r="J92" s="275">
        <f>I92*0.89</f>
        <v>290.14</v>
      </c>
      <c r="K92" s="275">
        <v>114</v>
      </c>
      <c r="L92" s="381">
        <f t="shared" si="96"/>
        <v>13.964832880000003</v>
      </c>
      <c r="M92" s="322">
        <f t="shared" si="84"/>
        <v>12.022331920000003</v>
      </c>
      <c r="N92" s="274">
        <f>IF(I92=0," ",I92*0.0381+3.17)</f>
        <v>15.5906</v>
      </c>
      <c r="O92" s="301">
        <f>N92*0.84</f>
        <v>13.096104</v>
      </c>
      <c r="P92" s="274">
        <f>IF(N92=" "," ",(I92/H92*880*0.0331-3.93)/880*H92)</f>
        <v>6.8605999999999998</v>
      </c>
      <c r="Q92" s="301">
        <f>P92*(2.3*0.81+4.4*0.91)/6.7</f>
        <v>6.007632865671642</v>
      </c>
      <c r="R92" s="274">
        <f>IF(N92=" "," ",(I92/H92*880*0.0333+0.24)/880*H92)</f>
        <v>11.095800000000001</v>
      </c>
      <c r="S92" s="301">
        <f>R92*0.83</f>
        <v>9.2095140000000004</v>
      </c>
      <c r="T92" s="274">
        <f>IF(N92=" "," ",(I92/H92*880*0.0069+0.53)/880*H92)</f>
        <v>2.7793999999999999</v>
      </c>
      <c r="U92" s="301">
        <f>T92*0.85</f>
        <v>2.3624899999999998</v>
      </c>
      <c r="V92" s="274">
        <v>1.8</v>
      </c>
      <c r="W92" s="274">
        <v>4</v>
      </c>
      <c r="X92" s="301">
        <f>W92*0.5</f>
        <v>2</v>
      </c>
      <c r="Y92" s="301">
        <f t="shared" si="97"/>
        <v>2.6</v>
      </c>
      <c r="Z92" s="274">
        <v>1.7</v>
      </c>
      <c r="AA92" s="303">
        <v>0.35</v>
      </c>
      <c r="AB92" s="276">
        <v>9.4</v>
      </c>
      <c r="AC92" s="311">
        <f>IF($I92=""," ",($I92/H92*880*0.0051+0.32)/880*H92)</f>
        <v>1.9825999999999999</v>
      </c>
      <c r="AD92" s="311">
        <f>AC92*0.81</f>
        <v>1.6059060000000001</v>
      </c>
      <c r="AE92" s="321">
        <v>77</v>
      </c>
      <c r="AF92" s="321">
        <v>66</v>
      </c>
      <c r="AG92" s="321">
        <v>62</v>
      </c>
      <c r="AH92" s="321">
        <f>41*H92/1000</f>
        <v>36.08</v>
      </c>
      <c r="AI92" s="612">
        <f t="shared" si="98"/>
        <v>266.79039999999998</v>
      </c>
      <c r="AJ92" s="321">
        <f t="shared" si="80"/>
        <v>260.92000000000007</v>
      </c>
      <c r="AK92" s="311">
        <v>78</v>
      </c>
      <c r="AL92" s="311"/>
      <c r="AM92" s="311"/>
      <c r="AN92" s="321"/>
      <c r="AO92" s="321"/>
      <c r="AP92" s="321"/>
      <c r="AQ92" s="612">
        <f t="shared" si="87"/>
        <v>148.46420000000001</v>
      </c>
      <c r="AR92" s="847">
        <f t="shared" si="81"/>
        <v>933.87199999999996</v>
      </c>
      <c r="AS92" s="321">
        <f t="shared" si="99"/>
        <v>267.23560000000003</v>
      </c>
      <c r="AT92" s="321">
        <f t="shared" si="82"/>
        <v>326.92</v>
      </c>
      <c r="AU92" s="852">
        <v>0.87</v>
      </c>
      <c r="AV92" s="852">
        <v>0.89</v>
      </c>
      <c r="AW92" s="852">
        <v>0.64</v>
      </c>
      <c r="AX92" s="852">
        <v>0.8</v>
      </c>
      <c r="AY92" s="852">
        <v>0.93</v>
      </c>
      <c r="AZ92" s="303">
        <f>0.7*H92/1000</f>
        <v>0.61599999999999999</v>
      </c>
      <c r="BA92" s="321">
        <f>103*H92/1000*K92/$K$92</f>
        <v>90.640000000000015</v>
      </c>
      <c r="BB92" s="321">
        <f>175*H92/1000*K92/$K$92</f>
        <v>154</v>
      </c>
      <c r="BC92" s="381">
        <f t="shared" si="83"/>
        <v>0.1993023016000004</v>
      </c>
      <c r="BD92" s="277"/>
      <c r="BE92" s="277"/>
      <c r="BF92" s="277"/>
      <c r="BG92" s="277"/>
      <c r="BH92" s="277"/>
      <c r="BI92" s="277"/>
      <c r="BJ92" s="277"/>
      <c r="BK92" s="277"/>
      <c r="BL92" s="277"/>
      <c r="BM92" s="277"/>
      <c r="BN92" s="277"/>
      <c r="BO92" s="277"/>
      <c r="BP92" s="277"/>
      <c r="BQ92" s="277"/>
      <c r="BR92" s="277"/>
      <c r="BS92" s="277"/>
      <c r="BT92" s="277"/>
      <c r="BU92" s="277"/>
      <c r="BV92" s="277"/>
      <c r="BW92" s="277"/>
      <c r="BX92" s="277"/>
      <c r="BY92" s="277"/>
      <c r="BZ92" s="277"/>
      <c r="CA92" s="277"/>
      <c r="CB92" s="277"/>
      <c r="CC92" s="277"/>
      <c r="CD92" s="277"/>
      <c r="CE92" s="277"/>
      <c r="CF92" s="277"/>
      <c r="CG92" s="277"/>
      <c r="CH92" s="277"/>
      <c r="CI92" s="277"/>
      <c r="CJ92" s="277"/>
      <c r="CK92" s="277"/>
      <c r="CL92" s="277"/>
      <c r="CM92" s="277"/>
      <c r="CN92" s="277"/>
      <c r="CO92" s="277"/>
      <c r="CP92" s="277"/>
      <c r="CQ92" s="277"/>
      <c r="CR92" s="277"/>
      <c r="CS92" s="277"/>
      <c r="CT92" s="277"/>
      <c r="CU92" s="277"/>
      <c r="CV92" s="277"/>
      <c r="CW92" s="277"/>
      <c r="CX92" s="277"/>
      <c r="CY92" s="277"/>
      <c r="CZ92" s="277"/>
      <c r="DA92" s="277"/>
      <c r="DB92" s="277"/>
      <c r="DC92" s="277"/>
      <c r="DD92" s="277"/>
      <c r="DE92" s="277"/>
      <c r="DF92" s="277"/>
      <c r="DG92" s="277"/>
      <c r="DH92" s="277"/>
      <c r="DI92" s="277"/>
      <c r="DJ92" s="277"/>
      <c r="DK92" s="277"/>
      <c r="DL92" s="277"/>
      <c r="DM92" s="277"/>
      <c r="DN92" s="277"/>
      <c r="DO92" s="277"/>
      <c r="DP92" s="277"/>
      <c r="DQ92" s="277"/>
      <c r="DR92" s="277"/>
      <c r="DS92" s="277"/>
      <c r="DT92" s="277"/>
      <c r="DU92" s="277"/>
      <c r="DV92" s="277"/>
      <c r="DW92" s="277"/>
      <c r="DX92" s="277"/>
      <c r="DY92" s="277"/>
      <c r="DZ92" s="277"/>
      <c r="EA92" s="277"/>
      <c r="EB92" s="277"/>
      <c r="EC92" s="277"/>
      <c r="ED92" s="277"/>
      <c r="EE92" s="277"/>
      <c r="EF92" s="277"/>
      <c r="EG92" s="277"/>
      <c r="EH92" s="277"/>
      <c r="EI92" s="277"/>
      <c r="EJ92" s="277"/>
      <c r="EK92" s="277"/>
      <c r="EL92" s="277"/>
      <c r="EM92" s="277"/>
    </row>
    <row r="93" spans="1:143" s="3" customFormat="1" ht="12.5" customHeight="1">
      <c r="A93" s="897" t="str">
        <f t="shared" si="93"/>
        <v xml:space="preserve">eigene Lupinen (blau) </v>
      </c>
      <c r="B93" s="298">
        <f>IF(D93=""," ",COUNTA($D$8:D93))</f>
        <v>84</v>
      </c>
      <c r="C93" s="327"/>
      <c r="D93" s="480" t="s">
        <v>355</v>
      </c>
      <c r="E93" s="619" t="str">
        <f t="shared" si="0"/>
        <v xml:space="preserve"> </v>
      </c>
      <c r="F93" s="304"/>
      <c r="G93" s="305"/>
      <c r="H93" s="91"/>
      <c r="I93" s="91"/>
      <c r="J93" s="306" t="str">
        <f>IF(I93=0," ",I93*0.85)</f>
        <v xml:space="preserve"> </v>
      </c>
      <c r="K93" s="91"/>
      <c r="L93" s="988" t="str">
        <f>IF($I93=""," ",I93*0.0205*AV93+0.0398*AW93*AE93+0.0173*AF93+0.016*$AG93+0.0147*AI93)</f>
        <v xml:space="preserve"> </v>
      </c>
      <c r="M93" s="988" t="str">
        <f t="shared" si="84"/>
        <v xml:space="preserve"> </v>
      </c>
      <c r="N93" s="307" t="str">
        <f>IF(I93=0," ",(I93/H93*880*0.0375+2.56)/880*H93)</f>
        <v xml:space="preserve"> </v>
      </c>
      <c r="O93" s="308" t="str">
        <f>IF(N93=" "," ",N93*0.84)</f>
        <v xml:space="preserve"> </v>
      </c>
      <c r="P93" s="307" t="str">
        <f>IF(N93=" "," ",(I93/H93*880*0.0331-3.93)/880*H93)</f>
        <v xml:space="preserve"> </v>
      </c>
      <c r="Q93" s="308" t="str">
        <f>IF(N93=" "," ",P93*(1.8*0.81+4.4*0.91)/6.2)</f>
        <v xml:space="preserve"> </v>
      </c>
      <c r="R93" s="307" t="str">
        <f>IF(N93=" "," ",(I93/H93*880*0.028+1.65)/880*H93)</f>
        <v xml:space="preserve"> </v>
      </c>
      <c r="S93" s="308" t="str">
        <f>IF(N93=" "," ",R93*0.81)</f>
        <v xml:space="preserve"> </v>
      </c>
      <c r="T93" s="307" t="str">
        <f>IF(N93=" "," ",(I93/H93*880*0.0069+0.53)/880*H93)</f>
        <v xml:space="preserve"> </v>
      </c>
      <c r="U93" s="308" t="str">
        <f>IF(N93=" "," ",T93*0.85)</f>
        <v xml:space="preserve"> </v>
      </c>
      <c r="V93" s="307" t="str">
        <f t="shared" ref="V93:AB93" si="100">IF($I93=0," ",V90*$H93/$H90)</f>
        <v xml:space="preserve"> </v>
      </c>
      <c r="W93" s="307" t="str">
        <f t="shared" si="100"/>
        <v xml:space="preserve"> </v>
      </c>
      <c r="X93" s="308" t="str">
        <f t="shared" si="100"/>
        <v xml:space="preserve"> </v>
      </c>
      <c r="Y93" s="307" t="str">
        <f t="shared" si="100"/>
        <v xml:space="preserve"> </v>
      </c>
      <c r="Z93" s="307" t="str">
        <f t="shared" si="100"/>
        <v xml:space="preserve"> </v>
      </c>
      <c r="AA93" s="309" t="str">
        <f t="shared" si="100"/>
        <v xml:space="preserve"> </v>
      </c>
      <c r="AB93" s="310" t="str">
        <f t="shared" si="100"/>
        <v xml:space="preserve"> </v>
      </c>
      <c r="AC93" s="307" t="str">
        <f>IF($I93=""," ",($I93/H93*880*0.0045+0.6)/880*H93)</f>
        <v xml:space="preserve"> </v>
      </c>
      <c r="AD93" s="307" t="str">
        <f>IF(AC93=" "," ",AC93*0.81)</f>
        <v xml:space="preserve"> </v>
      </c>
      <c r="AE93" s="92"/>
      <c r="AF93" s="92"/>
      <c r="AG93" s="92"/>
      <c r="AH93" s="92"/>
      <c r="AI93" s="306" t="str">
        <f>IF($I93=""," ",(H93-AH93)*AU93-I93*AV93-AE93*AW93-AF93-AG93)</f>
        <v xml:space="preserve"> </v>
      </c>
      <c r="AJ93" s="306" t="str">
        <f t="shared" si="80"/>
        <v xml:space="preserve"> </v>
      </c>
      <c r="AK93" s="307" t="str">
        <f t="shared" ref="AK93:AP93" si="101">IF($I93=0," ",AK90*$H93/$H90)</f>
        <v xml:space="preserve"> </v>
      </c>
      <c r="AL93" s="307" t="str">
        <f t="shared" si="101"/>
        <v xml:space="preserve"> </v>
      </c>
      <c r="AM93" s="307" t="str">
        <f t="shared" si="101"/>
        <v xml:space="preserve"> </v>
      </c>
      <c r="AN93" s="307" t="str">
        <f t="shared" si="101"/>
        <v xml:space="preserve"> </v>
      </c>
      <c r="AO93" s="307" t="str">
        <f t="shared" si="101"/>
        <v xml:space="preserve"> </v>
      </c>
      <c r="AP93" s="307" t="str">
        <f t="shared" si="101"/>
        <v xml:space="preserve"> </v>
      </c>
      <c r="AQ93" s="306" t="str">
        <f t="shared" si="87"/>
        <v/>
      </c>
      <c r="AR93" s="306" t="str">
        <f t="shared" si="81"/>
        <v/>
      </c>
      <c r="AS93" s="306" t="str">
        <f>IF($I93=0," ",AX93*K93+AY93*AT93-AF93-AG93)</f>
        <v xml:space="preserve"> </v>
      </c>
      <c r="AT93" s="92" t="str">
        <f t="shared" si="82"/>
        <v xml:space="preserve"> </v>
      </c>
      <c r="AU93" s="853" t="str">
        <f>IF($I93=0," ",AU90)</f>
        <v xml:space="preserve"> </v>
      </c>
      <c r="AV93" s="853" t="str">
        <f>IF($I93=0," ",AV90)</f>
        <v xml:space="preserve"> </v>
      </c>
      <c r="AW93" s="853" t="str">
        <f>IF($I93=0," ",AW90)</f>
        <v xml:space="preserve"> </v>
      </c>
      <c r="AX93" s="853" t="str">
        <f>IF($I93=0," ",AX90)</f>
        <v xml:space="preserve"> </v>
      </c>
      <c r="AY93" s="853" t="str">
        <f>IF($I93=0," ",AY90)</f>
        <v xml:space="preserve"> </v>
      </c>
      <c r="AZ93" s="309" t="str">
        <f>IF($I93=0," ",AZ90*$H93/$H90)</f>
        <v xml:space="preserve"> </v>
      </c>
      <c r="BA93" s="92" t="str">
        <f>IF($I93=0," ",BA92*$H93/$H92*K93/K92)</f>
        <v xml:space="preserve"> </v>
      </c>
      <c r="BB93" s="92" t="str">
        <f>IF($I93=0," ",BB92*$H93/$H92*K93/K92)</f>
        <v xml:space="preserve"> </v>
      </c>
      <c r="BC93" s="988" t="str">
        <f t="shared" si="83"/>
        <v/>
      </c>
      <c r="BD93" s="277"/>
      <c r="BE93" s="277"/>
      <c r="BF93" s="277"/>
      <c r="BG93" s="277"/>
      <c r="BH93" s="277"/>
      <c r="BI93" s="277"/>
      <c r="BJ93" s="277"/>
      <c r="BK93" s="277"/>
      <c r="BL93" s="277"/>
      <c r="BM93" s="277"/>
      <c r="BN93" s="277"/>
      <c r="BO93" s="277"/>
      <c r="BP93" s="277"/>
      <c r="BQ93" s="277"/>
      <c r="BR93" s="277"/>
      <c r="BS93" s="277"/>
      <c r="BT93" s="277"/>
      <c r="BU93" s="277"/>
      <c r="BV93" s="277"/>
      <c r="BW93" s="277"/>
      <c r="BX93" s="277"/>
      <c r="BY93" s="277"/>
      <c r="BZ93" s="277"/>
      <c r="CA93" s="277"/>
      <c r="CB93" s="277"/>
      <c r="CC93" s="277"/>
      <c r="CD93" s="277"/>
      <c r="CE93" s="277"/>
      <c r="CF93" s="277"/>
      <c r="CG93" s="277"/>
      <c r="CH93" s="277"/>
      <c r="CI93" s="277"/>
      <c r="CJ93" s="277"/>
      <c r="CK93" s="277"/>
      <c r="CL93" s="277"/>
      <c r="CM93" s="277"/>
      <c r="CN93" s="277"/>
      <c r="CO93" s="277"/>
      <c r="CP93" s="277"/>
      <c r="CQ93" s="277"/>
      <c r="CR93" s="277"/>
      <c r="CS93" s="277"/>
      <c r="CT93" s="277"/>
      <c r="CU93" s="277"/>
      <c r="CV93" s="277"/>
      <c r="CW93" s="277"/>
      <c r="CX93" s="277"/>
      <c r="CY93" s="277"/>
      <c r="CZ93" s="277"/>
      <c r="DA93" s="277"/>
      <c r="DB93" s="277"/>
      <c r="DC93" s="277"/>
      <c r="DD93" s="277"/>
      <c r="DE93" s="277"/>
      <c r="DF93" s="277"/>
      <c r="DG93" s="277"/>
      <c r="DH93" s="277"/>
      <c r="DI93" s="277"/>
      <c r="DJ93" s="277"/>
      <c r="DK93" s="277"/>
      <c r="DL93" s="277"/>
      <c r="DM93" s="277"/>
      <c r="DN93" s="277"/>
      <c r="DO93" s="277"/>
      <c r="DP93" s="277"/>
      <c r="DQ93" s="277"/>
      <c r="DR93" s="277"/>
      <c r="DS93" s="277"/>
      <c r="DT93" s="277"/>
      <c r="DU93" s="277"/>
      <c r="DV93" s="277"/>
      <c r="DW93" s="277"/>
      <c r="DX93" s="277"/>
      <c r="DY93" s="277"/>
      <c r="DZ93" s="277"/>
      <c r="EA93" s="277"/>
      <c r="EB93" s="277"/>
      <c r="EC93" s="277"/>
      <c r="ED93" s="277"/>
      <c r="EE93" s="277"/>
      <c r="EF93" s="277"/>
      <c r="EG93" s="277"/>
      <c r="EH93" s="277"/>
      <c r="EI93" s="277"/>
      <c r="EJ93" s="277"/>
      <c r="EK93" s="277"/>
      <c r="EL93" s="277"/>
      <c r="EM93" s="277"/>
    </row>
    <row r="94" spans="1:143" s="3" customFormat="1" ht="12.5" customHeight="1">
      <c r="A94" s="897" t="str">
        <f t="shared" si="93"/>
        <v>Malzkeime 27% RP DLG 2005</v>
      </c>
      <c r="B94" s="298">
        <f>IF(D94=""," ",COUNTA($D$8:D94))</f>
        <v>85</v>
      </c>
      <c r="C94" s="327"/>
      <c r="D94" s="479" t="s">
        <v>62</v>
      </c>
      <c r="E94" s="617">
        <f t="shared" si="0"/>
        <v>27</v>
      </c>
      <c r="F94" s="299" t="s">
        <v>979</v>
      </c>
      <c r="G94" s="300"/>
      <c r="H94" s="275">
        <v>920</v>
      </c>
      <c r="I94" s="275">
        <v>273</v>
      </c>
      <c r="J94" s="275">
        <f>I94*0.75</f>
        <v>204.75</v>
      </c>
      <c r="K94" s="275">
        <v>133</v>
      </c>
      <c r="L94" s="381">
        <f>I94*0.0205*AV94+0.0398*AW94*AE94+0.0173*AF94+0.016*$AG94+0.0147*AI94</f>
        <v>8.2323143999999981</v>
      </c>
      <c r="M94" s="322">
        <f t="shared" si="84"/>
        <v>9.9229416000000015</v>
      </c>
      <c r="N94" s="274">
        <f>IF(I94=0," ",(I94/H94*880*0.0561-1.69)/880*H94)</f>
        <v>13.548481818181818</v>
      </c>
      <c r="O94" s="324">
        <f>N94*0.71</f>
        <v>9.6194220909090902</v>
      </c>
      <c r="P94" s="274">
        <f>IF(N94=" "," ",(I94/H94*880*0.0212+1.29)/880*H94)</f>
        <v>7.136236363636363</v>
      </c>
      <c r="Q94" s="324">
        <f>P94*0.71</f>
        <v>5.0667278181818176</v>
      </c>
      <c r="R94" s="274">
        <f>IF(N94=" "," ",(I94/H94*880*0.0331+0.19)/880*H94)</f>
        <v>9.2349363636363631</v>
      </c>
      <c r="S94" s="324">
        <f>R94*0.71</f>
        <v>6.556804818181817</v>
      </c>
      <c r="T94" s="274">
        <f>IF(N94=" "," ",(I94/H94*880*0.01-0.09)/880*H94)</f>
        <v>2.6359090909090912</v>
      </c>
      <c r="U94" s="324">
        <f>T94*0.71</f>
        <v>1.8714954545454547</v>
      </c>
      <c r="V94" s="274">
        <v>2.7</v>
      </c>
      <c r="W94" s="274">
        <v>7.2</v>
      </c>
      <c r="X94" s="301">
        <v>1.8</v>
      </c>
      <c r="Y94" s="301">
        <f>W94*0.65</f>
        <v>4.6800000000000006</v>
      </c>
      <c r="Z94" s="274">
        <v>1.6</v>
      </c>
      <c r="AA94" s="303">
        <v>0.56999999999999995</v>
      </c>
      <c r="AB94" s="276">
        <v>16.899999999999999</v>
      </c>
      <c r="AC94" s="311">
        <f>IF($I94=""," ",($I94/H94*880*0.0124+0.46)/880*H94)</f>
        <v>3.8661090909090907</v>
      </c>
      <c r="AD94" s="311">
        <f>AC94*0.71</f>
        <v>2.7449374545454543</v>
      </c>
      <c r="AE94" s="321">
        <v>10</v>
      </c>
      <c r="AF94" s="321">
        <v>42</v>
      </c>
      <c r="AG94" s="321">
        <v>128</v>
      </c>
      <c r="AH94" s="321">
        <f>70*H94/1000</f>
        <v>64.400000000000006</v>
      </c>
      <c r="AI94" s="612">
        <f>(H94-AH94)*AU94-I94*AV94-AE94*AW94-AF94-AG94</f>
        <v>185.55199999999991</v>
      </c>
      <c r="AJ94" s="321">
        <f t="shared" si="80"/>
        <v>397.6</v>
      </c>
      <c r="AK94" s="311">
        <v>4.4000000000000004</v>
      </c>
      <c r="AL94" s="311"/>
      <c r="AM94" s="311"/>
      <c r="AN94" s="321"/>
      <c r="AO94" s="321"/>
      <c r="AP94" s="321"/>
      <c r="AQ94" s="612">
        <f t="shared" si="87"/>
        <v>160.29246530089637</v>
      </c>
      <c r="AR94" s="847">
        <f t="shared" si="81"/>
        <v>814.63800000000003</v>
      </c>
      <c r="AS94" s="321">
        <f>AX94*K94+AY94*AT94-AF94-AG94</f>
        <v>188.666</v>
      </c>
      <c r="AT94" s="321">
        <f t="shared" si="82"/>
        <v>439.6</v>
      </c>
      <c r="AU94" s="852">
        <v>0.56999999999999995</v>
      </c>
      <c r="AV94" s="852">
        <v>0.48</v>
      </c>
      <c r="AW94" s="852">
        <v>0.11</v>
      </c>
      <c r="AX94" s="852">
        <v>0.35</v>
      </c>
      <c r="AY94" s="852">
        <v>0.71</v>
      </c>
      <c r="AZ94" s="303">
        <f>(0.93*23*AA94)/35.5+Z94</f>
        <v>1.9434450704225352</v>
      </c>
      <c r="BA94" s="321">
        <f>63*H94/1000*K94/$K$94</f>
        <v>57.96</v>
      </c>
      <c r="BB94" s="321">
        <f>198*H94/1000*K94/$K$94</f>
        <v>182.16</v>
      </c>
      <c r="BC94" s="381">
        <f t="shared" si="83"/>
        <v>-4.6732526319999996</v>
      </c>
      <c r="BD94" s="277"/>
      <c r="BE94" s="277"/>
      <c r="BF94" s="277"/>
      <c r="BG94" s="277"/>
      <c r="BH94" s="277"/>
      <c r="BI94" s="277"/>
      <c r="BJ94" s="277"/>
      <c r="BK94" s="277"/>
      <c r="BL94" s="277"/>
      <c r="BM94" s="277"/>
      <c r="BN94" s="277"/>
      <c r="BO94" s="277"/>
      <c r="BP94" s="277"/>
      <c r="BQ94" s="277"/>
      <c r="BR94" s="277"/>
      <c r="BS94" s="277"/>
      <c r="BT94" s="277"/>
      <c r="BU94" s="277"/>
      <c r="BV94" s="277"/>
      <c r="BW94" s="277"/>
      <c r="BX94" s="277"/>
      <c r="BY94" s="277"/>
      <c r="BZ94" s="277"/>
      <c r="CA94" s="277"/>
      <c r="CB94" s="277"/>
      <c r="CC94" s="277"/>
      <c r="CD94" s="277"/>
      <c r="CE94" s="277"/>
      <c r="CF94" s="277"/>
      <c r="CG94" s="277"/>
      <c r="CH94" s="277"/>
      <c r="CI94" s="277"/>
      <c r="CJ94" s="277"/>
      <c r="CK94" s="277"/>
      <c r="CL94" s="277"/>
      <c r="CM94" s="277"/>
      <c r="CN94" s="277"/>
      <c r="CO94" s="277"/>
      <c r="CP94" s="277"/>
      <c r="CQ94" s="277"/>
      <c r="CR94" s="277"/>
      <c r="CS94" s="277"/>
      <c r="CT94" s="277"/>
      <c r="CU94" s="277"/>
      <c r="CV94" s="277"/>
      <c r="CW94" s="277"/>
      <c r="CX94" s="277"/>
      <c r="CY94" s="277"/>
      <c r="CZ94" s="277"/>
      <c r="DA94" s="277"/>
      <c r="DB94" s="277"/>
      <c r="DC94" s="277"/>
      <c r="DD94" s="277"/>
      <c r="DE94" s="277"/>
      <c r="DF94" s="277"/>
      <c r="DG94" s="277"/>
      <c r="DH94" s="277"/>
      <c r="DI94" s="277"/>
      <c r="DJ94" s="277"/>
      <c r="DK94" s="277"/>
      <c r="DL94" s="277"/>
      <c r="DM94" s="277"/>
      <c r="DN94" s="277"/>
      <c r="DO94" s="277"/>
      <c r="DP94" s="277"/>
      <c r="DQ94" s="277"/>
      <c r="DR94" s="277"/>
      <c r="DS94" s="277"/>
      <c r="DT94" s="277"/>
      <c r="DU94" s="277"/>
      <c r="DV94" s="277"/>
      <c r="DW94" s="277"/>
      <c r="DX94" s="277"/>
      <c r="DY94" s="277"/>
      <c r="DZ94" s="277"/>
      <c r="EA94" s="277"/>
      <c r="EB94" s="277"/>
      <c r="EC94" s="277"/>
      <c r="ED94" s="277"/>
      <c r="EE94" s="277"/>
      <c r="EF94" s="277"/>
      <c r="EG94" s="277"/>
      <c r="EH94" s="277"/>
      <c r="EI94" s="277"/>
      <c r="EJ94" s="277"/>
      <c r="EK94" s="277"/>
      <c r="EL94" s="277"/>
      <c r="EM94" s="277"/>
    </row>
    <row r="95" spans="1:143" s="3" customFormat="1" ht="12.5" customHeight="1">
      <c r="A95" s="897" t="str">
        <f t="shared" si="93"/>
        <v>Magermilchpulver 35% RP DLG 2014</v>
      </c>
      <c r="B95" s="298">
        <f>IF(D95=""," ",COUNTA($D$8:D95))</f>
        <v>86</v>
      </c>
      <c r="C95" s="327"/>
      <c r="D95" s="479" t="s">
        <v>335</v>
      </c>
      <c r="E95" s="617">
        <f t="shared" si="0"/>
        <v>35</v>
      </c>
      <c r="F95" s="299" t="s">
        <v>969</v>
      </c>
      <c r="G95" s="300"/>
      <c r="H95" s="275">
        <v>960</v>
      </c>
      <c r="I95" s="275">
        <v>350</v>
      </c>
      <c r="J95" s="275">
        <f>I95*0.95</f>
        <v>332.5</v>
      </c>
      <c r="K95" s="275">
        <v>0</v>
      </c>
      <c r="L95" s="381">
        <f>I95*0.0205*AV95+0.0398*AW95*AE95+0.0173*AF95+0.016*$AG95+0.0147*AI95</f>
        <v>15.010265839999999</v>
      </c>
      <c r="M95" s="322">
        <f t="shared" si="84"/>
        <v>15.411264320000001</v>
      </c>
      <c r="N95" s="274">
        <v>26.9</v>
      </c>
      <c r="O95" s="324">
        <f>N95*0.97</f>
        <v>26.092999999999996</v>
      </c>
      <c r="P95" s="274">
        <f>8.6+2.9</f>
        <v>11.5</v>
      </c>
      <c r="Q95" s="324">
        <f>P95*(0.97*8.6+2.9*0.91)/11.5</f>
        <v>10.980999999999998</v>
      </c>
      <c r="R95" s="274">
        <v>15.4</v>
      </c>
      <c r="S95" s="324">
        <f>R95*0.93</f>
        <v>14.322000000000001</v>
      </c>
      <c r="T95" s="274">
        <v>4.7</v>
      </c>
      <c r="U95" s="324">
        <f>T95*0.91</f>
        <v>4.2770000000000001</v>
      </c>
      <c r="V95" s="274">
        <v>13</v>
      </c>
      <c r="W95" s="274">
        <v>10.1</v>
      </c>
      <c r="X95" s="301">
        <f>W95*0.85</f>
        <v>8.5849999999999991</v>
      </c>
      <c r="Y95" s="301">
        <f>X95</f>
        <v>8.5849999999999991</v>
      </c>
      <c r="Z95" s="274">
        <v>1.2</v>
      </c>
      <c r="AA95" s="303">
        <v>5.2</v>
      </c>
      <c r="AB95" s="276">
        <v>15.2</v>
      </c>
      <c r="AC95" s="311">
        <f>IF($I95=""," ",($I95/H95*880*0.0374-4.57)/880*H95)</f>
        <v>8.1045454545454536</v>
      </c>
      <c r="AD95" s="311">
        <f>AC95*0.97</f>
        <v>7.8614090909090901</v>
      </c>
      <c r="AE95" s="321">
        <v>5</v>
      </c>
      <c r="AF95" s="321">
        <v>0</v>
      </c>
      <c r="AG95" s="321">
        <v>470</v>
      </c>
      <c r="AH95" s="321">
        <f>83*H95/1000</f>
        <v>79.680000000000007</v>
      </c>
      <c r="AI95" s="612">
        <f>(H95-AH95)*AU95-I95*AV95-AE95*AW95-AF95-AG95</f>
        <v>40.707199999999943</v>
      </c>
      <c r="AJ95" s="321">
        <f t="shared" si="80"/>
        <v>525.31999999999994</v>
      </c>
      <c r="AK95" s="311">
        <v>0.4</v>
      </c>
      <c r="AL95" s="311"/>
      <c r="AM95" s="311"/>
      <c r="AN95" s="321"/>
      <c r="AO95" s="321"/>
      <c r="AP95" s="321"/>
      <c r="AQ95" s="612">
        <f t="shared" si="87"/>
        <v>155.11199999999991</v>
      </c>
      <c r="AR95" s="847">
        <f>IF(H95="","",V95/1000*20140+Z95/1000*48600+1300/430*I95)</f>
        <v>1378.2795348837208</v>
      </c>
      <c r="AS95" s="321">
        <f>AX95*K95+AY95*AT95-AF95-AG95</f>
        <v>44.813599999999951</v>
      </c>
      <c r="AT95" s="321">
        <f t="shared" si="82"/>
        <v>525.31999999999994</v>
      </c>
      <c r="AU95" s="852">
        <v>0.96</v>
      </c>
      <c r="AV95" s="852">
        <v>0.95</v>
      </c>
      <c r="AW95" s="852">
        <v>0.38</v>
      </c>
      <c r="AX95" s="852">
        <v>0</v>
      </c>
      <c r="AY95" s="852">
        <v>0.98</v>
      </c>
      <c r="AZ95" s="303">
        <f>17.6*H95/1000</f>
        <v>16.896000000000001</v>
      </c>
      <c r="BA95" s="321">
        <f>K95</f>
        <v>0</v>
      </c>
      <c r="BB95" s="321">
        <f>0*H95/1000</f>
        <v>0</v>
      </c>
      <c r="BC95" s="381">
        <f t="shared" si="83"/>
        <v>1.7252229535999994</v>
      </c>
      <c r="BD95" s="277"/>
      <c r="BE95" s="277"/>
      <c r="BF95" s="277"/>
      <c r="BG95" s="277"/>
      <c r="BH95" s="277"/>
      <c r="BI95" s="277"/>
      <c r="BJ95" s="277"/>
      <c r="BK95" s="277"/>
      <c r="BL95" s="277"/>
      <c r="BM95" s="277"/>
      <c r="BN95" s="277"/>
      <c r="BO95" s="277"/>
      <c r="BP95" s="277"/>
      <c r="BQ95" s="277"/>
      <c r="BR95" s="277"/>
      <c r="BS95" s="277"/>
      <c r="BT95" s="277"/>
      <c r="BU95" s="277"/>
      <c r="BV95" s="277"/>
      <c r="BW95" s="277"/>
      <c r="BX95" s="277"/>
      <c r="BY95" s="277"/>
      <c r="BZ95" s="277"/>
      <c r="CA95" s="277"/>
      <c r="CB95" s="277"/>
      <c r="CC95" s="277"/>
      <c r="CD95" s="277"/>
      <c r="CE95" s="277"/>
      <c r="CF95" s="277"/>
      <c r="CG95" s="277"/>
      <c r="CH95" s="277"/>
      <c r="CI95" s="277"/>
      <c r="CJ95" s="277"/>
      <c r="CK95" s="277"/>
      <c r="CL95" s="277"/>
      <c r="CM95" s="277"/>
      <c r="CN95" s="277"/>
      <c r="CO95" s="277"/>
      <c r="CP95" s="277"/>
      <c r="CQ95" s="277"/>
      <c r="CR95" s="277"/>
      <c r="CS95" s="277"/>
      <c r="CT95" s="277"/>
      <c r="CU95" s="277"/>
      <c r="CV95" s="277"/>
      <c r="CW95" s="277"/>
      <c r="CX95" s="277"/>
      <c r="CY95" s="277"/>
      <c r="CZ95" s="277"/>
      <c r="DA95" s="277"/>
      <c r="DB95" s="277"/>
      <c r="DC95" s="277"/>
      <c r="DD95" s="277"/>
      <c r="DE95" s="277"/>
      <c r="DF95" s="277"/>
      <c r="DG95" s="277"/>
      <c r="DH95" s="277"/>
      <c r="DI95" s="277"/>
      <c r="DJ95" s="277"/>
      <c r="DK95" s="277"/>
      <c r="DL95" s="277"/>
      <c r="DM95" s="277"/>
      <c r="DN95" s="277"/>
      <c r="DO95" s="277"/>
      <c r="DP95" s="277"/>
      <c r="DQ95" s="277"/>
      <c r="DR95" s="277"/>
      <c r="DS95" s="277"/>
      <c r="DT95" s="277"/>
      <c r="DU95" s="277"/>
      <c r="DV95" s="277"/>
      <c r="DW95" s="277"/>
      <c r="DX95" s="277"/>
      <c r="DY95" s="277"/>
      <c r="DZ95" s="277"/>
      <c r="EA95" s="277"/>
      <c r="EB95" s="277"/>
      <c r="EC95" s="277"/>
      <c r="ED95" s="277"/>
      <c r="EE95" s="277"/>
      <c r="EF95" s="277"/>
      <c r="EG95" s="277"/>
      <c r="EH95" s="277"/>
      <c r="EI95" s="277"/>
      <c r="EJ95" s="277"/>
      <c r="EK95" s="277"/>
      <c r="EL95" s="277"/>
      <c r="EM95" s="277"/>
    </row>
    <row r="96" spans="1:143" s="3" customFormat="1" ht="12.5" customHeight="1">
      <c r="A96" s="897" t="str">
        <f t="shared" si="93"/>
        <v>Rapsschrot-00Typ (RES) 36% RP DLG 2014</v>
      </c>
      <c r="B96" s="298">
        <f>IF(D96=""," ",COUNTA($D$8:D96))</f>
        <v>87</v>
      </c>
      <c r="C96" s="327"/>
      <c r="D96" s="479" t="s">
        <v>295</v>
      </c>
      <c r="E96" s="617">
        <f t="shared" si="0"/>
        <v>36</v>
      </c>
      <c r="F96" s="299" t="s">
        <v>969</v>
      </c>
      <c r="G96" s="300" t="s">
        <v>54</v>
      </c>
      <c r="H96" s="275">
        <v>890</v>
      </c>
      <c r="I96" s="275">
        <v>355</v>
      </c>
      <c r="J96" s="275">
        <f>I96*0.71</f>
        <v>252.04999999999998</v>
      </c>
      <c r="K96" s="275">
        <v>116</v>
      </c>
      <c r="L96" s="381">
        <f>I96*0.0205*AV96+0.0398*AW96*AE96+0.0173*AF96+0.016*$AG96+0.0147*AI96</f>
        <v>9.9248530000000024</v>
      </c>
      <c r="M96" s="322">
        <f t="shared" si="84"/>
        <v>10.815170999999999</v>
      </c>
      <c r="N96" s="274">
        <f>IF(I96=0," ",(I96/H96*880*0.0547+0.52)/880*H96)</f>
        <v>19.944409090909087</v>
      </c>
      <c r="O96" s="301">
        <f>IF(N96=" "," ",N96*0.73)</f>
        <v>14.559418636363633</v>
      </c>
      <c r="P96" s="274">
        <f>IF(N96=" "," ",(I96/H96*880*0.049-2.17)/880*H96)</f>
        <v>15.20034090909091</v>
      </c>
      <c r="Q96" s="301">
        <f>IF(N96=" "," ",P96*0.82)</f>
        <v>12.464279545454545</v>
      </c>
      <c r="R96" s="274">
        <v>15.1</v>
      </c>
      <c r="S96" s="301">
        <f>IF(N96=" "," ",R96*0.68)</f>
        <v>10.268000000000001</v>
      </c>
      <c r="T96" s="274">
        <v>4.9000000000000004</v>
      </c>
      <c r="U96" s="301">
        <f>IF(N96=" "," ",T96*0.72)</f>
        <v>3.528</v>
      </c>
      <c r="V96" s="274">
        <v>7.7</v>
      </c>
      <c r="W96" s="274">
        <v>10.7</v>
      </c>
      <c r="X96" s="301">
        <f>W96*0.3</f>
        <v>3.2099999999999995</v>
      </c>
      <c r="Y96" s="301">
        <f>W96*0.65</f>
        <v>6.9550000000000001</v>
      </c>
      <c r="Z96" s="274">
        <v>5.3</v>
      </c>
      <c r="AA96" s="303">
        <v>0.5</v>
      </c>
      <c r="AB96" s="276">
        <v>11.7</v>
      </c>
      <c r="AC96" s="311">
        <f>IF($I96=""," ",($I96/H96*880*0.0169+0.87)/880*H96)</f>
        <v>6.879386363636363</v>
      </c>
      <c r="AD96" s="311">
        <f>AC96*0.82</f>
        <v>5.6410968181818175</v>
      </c>
      <c r="AE96" s="321">
        <v>27</v>
      </c>
      <c r="AF96" s="321">
        <v>0</v>
      </c>
      <c r="AG96" s="321">
        <v>71</v>
      </c>
      <c r="AH96" s="321">
        <v>69</v>
      </c>
      <c r="AI96" s="612">
        <f>(H96-AH96)*AU96-I96*AV96-AE96*AW96-AF96-AG96</f>
        <v>215.68000000000012</v>
      </c>
      <c r="AJ96" s="321">
        <f t="shared" si="80"/>
        <v>323</v>
      </c>
      <c r="AK96" s="311">
        <f>AL96+AM96</f>
        <v>7.83</v>
      </c>
      <c r="AL96" s="610">
        <f>20*AE96/100</f>
        <v>5.4</v>
      </c>
      <c r="AM96" s="610">
        <f>9*AE96/100</f>
        <v>2.4300000000000002</v>
      </c>
      <c r="AN96" s="321"/>
      <c r="AO96" s="321"/>
      <c r="AP96" s="321"/>
      <c r="AQ96" s="612">
        <f t="shared" si="87"/>
        <v>314.71956818181809</v>
      </c>
      <c r="AR96" s="847">
        <f t="shared" ref="AR96:AR125" si="102">IF(H96="","",V96/1000*20140+Z96/1000*48600+1100/440*I96)</f>
        <v>1300.1579999999999</v>
      </c>
      <c r="AS96" s="321">
        <f>AX96*K96+AY96*AT96-AF96-AG96</f>
        <v>191.06</v>
      </c>
      <c r="AT96" s="321">
        <f t="shared" si="82"/>
        <v>323</v>
      </c>
      <c r="AU96" s="852">
        <v>0.67</v>
      </c>
      <c r="AV96" s="852">
        <v>0.71</v>
      </c>
      <c r="AW96" s="852">
        <v>0.42</v>
      </c>
      <c r="AX96" s="852">
        <v>0.31</v>
      </c>
      <c r="AY96" s="852">
        <v>0.7</v>
      </c>
      <c r="AZ96" s="303">
        <f>0.3*H96/1000</f>
        <v>0.26700000000000002</v>
      </c>
      <c r="BA96" s="321">
        <v>193</v>
      </c>
      <c r="BB96" s="321">
        <v>279</v>
      </c>
      <c r="BC96" s="381">
        <f t="shared" si="83"/>
        <v>-5.3159251699999999</v>
      </c>
      <c r="BD96" s="277"/>
      <c r="BE96" s="277"/>
      <c r="BF96" s="277"/>
      <c r="BG96" s="277"/>
      <c r="BH96" s="277"/>
      <c r="BI96" s="277"/>
      <c r="BJ96" s="277"/>
      <c r="BK96" s="277"/>
      <c r="BL96" s="277"/>
      <c r="BM96" s="277"/>
      <c r="BN96" s="277"/>
      <c r="BO96" s="277"/>
      <c r="BP96" s="277"/>
      <c r="BQ96" s="277"/>
      <c r="BR96" s="277"/>
      <c r="BS96" s="277"/>
      <c r="BT96" s="277"/>
      <c r="BU96" s="277"/>
      <c r="BV96" s="277"/>
      <c r="BW96" s="277"/>
      <c r="BX96" s="277"/>
      <c r="BY96" s="277"/>
      <c r="BZ96" s="277"/>
      <c r="CA96" s="277"/>
      <c r="CB96" s="277"/>
      <c r="CC96" s="277"/>
      <c r="CD96" s="277"/>
      <c r="CE96" s="277"/>
      <c r="CF96" s="277"/>
      <c r="CG96" s="277"/>
      <c r="CH96" s="277"/>
      <c r="CI96" s="277"/>
      <c r="CJ96" s="277"/>
      <c r="CK96" s="277"/>
      <c r="CL96" s="277"/>
      <c r="CM96" s="277"/>
      <c r="CN96" s="277"/>
      <c r="CO96" s="277"/>
      <c r="CP96" s="277"/>
      <c r="CQ96" s="277"/>
      <c r="CR96" s="277"/>
      <c r="CS96" s="277"/>
      <c r="CT96" s="277"/>
      <c r="CU96" s="277"/>
      <c r="CV96" s="277"/>
      <c r="CW96" s="277"/>
      <c r="CX96" s="277"/>
      <c r="CY96" s="277"/>
      <c r="CZ96" s="277"/>
      <c r="DA96" s="277"/>
      <c r="DB96" s="277"/>
      <c r="DC96" s="277"/>
      <c r="DD96" s="277"/>
      <c r="DE96" s="277"/>
      <c r="DF96" s="277"/>
      <c r="DG96" s="277"/>
      <c r="DH96" s="277"/>
      <c r="DI96" s="277"/>
      <c r="DJ96" s="277"/>
      <c r="DK96" s="277"/>
      <c r="DL96" s="277"/>
      <c r="DM96" s="277"/>
      <c r="DN96" s="277"/>
      <c r="DO96" s="277"/>
      <c r="DP96" s="277"/>
      <c r="DQ96" s="277"/>
      <c r="DR96" s="277"/>
      <c r="DS96" s="277"/>
      <c r="DT96" s="277"/>
      <c r="DU96" s="277"/>
      <c r="DV96" s="277"/>
      <c r="DW96" s="277"/>
      <c r="DX96" s="277"/>
      <c r="DY96" s="277"/>
      <c r="DZ96" s="277"/>
      <c r="EA96" s="277"/>
      <c r="EB96" s="277"/>
      <c r="EC96" s="277"/>
      <c r="ED96" s="277"/>
      <c r="EE96" s="277"/>
      <c r="EF96" s="277"/>
      <c r="EG96" s="277"/>
      <c r="EH96" s="277"/>
      <c r="EI96" s="277"/>
      <c r="EJ96" s="277"/>
      <c r="EK96" s="277"/>
      <c r="EL96" s="277"/>
      <c r="EM96" s="277"/>
    </row>
    <row r="97" spans="1:143" s="3" customFormat="1" ht="12.5" customHeight="1">
      <c r="A97" s="897" t="str">
        <f t="shared" si="93"/>
        <v xml:space="preserve">eigenes Rapsschrot </v>
      </c>
      <c r="B97" s="298">
        <f>IF(D97=""," ",COUNTA($D$8:D97))</f>
        <v>88</v>
      </c>
      <c r="C97" s="327"/>
      <c r="D97" s="480" t="s">
        <v>356</v>
      </c>
      <c r="E97" s="619" t="str">
        <f t="shared" si="0"/>
        <v xml:space="preserve"> </v>
      </c>
      <c r="F97" s="304"/>
      <c r="G97" s="305"/>
      <c r="H97" s="91"/>
      <c r="I97" s="91"/>
      <c r="J97" s="306" t="str">
        <f>IF(I97=0," ",I97*0.71)</f>
        <v xml:space="preserve"> </v>
      </c>
      <c r="K97" s="91"/>
      <c r="L97" s="988" t="str">
        <f>IF($I97=""," ",I97*0.0205*AV97+0.0398*AW97*AE97+0.0173*AF97+0.016*$AG97+0.0147*AI97)</f>
        <v xml:space="preserve"> </v>
      </c>
      <c r="M97" s="988" t="str">
        <f t="shared" si="84"/>
        <v xml:space="preserve"> </v>
      </c>
      <c r="N97" s="307" t="str">
        <f>IF(I97=0," ",(I97/H97*880*0.0547+0.52)/880*H97)</f>
        <v xml:space="preserve"> </v>
      </c>
      <c r="O97" s="308" t="str">
        <f>IF(N97=" "," ",N97*0.73)</f>
        <v xml:space="preserve"> </v>
      </c>
      <c r="P97" s="307" t="str">
        <f>IF(N97=" "," ",(I97/H97*880*0.049-2.17)/880*H97)</f>
        <v xml:space="preserve"> </v>
      </c>
      <c r="Q97" s="308" t="str">
        <f>IF(N97=" "," ",P97*0.82)</f>
        <v xml:space="preserve"> </v>
      </c>
      <c r="R97" s="307" t="str">
        <f>IF(N97=" "," ",(I97/H97*880*0.0245+6.2)/880*H97)</f>
        <v xml:space="preserve"> </v>
      </c>
      <c r="S97" s="308" t="str">
        <f>IF(N97=" "," ",R97*0.68)</f>
        <v xml:space="preserve"> </v>
      </c>
      <c r="T97" s="307" t="str">
        <f>IF(N97=" "," ",(I97/H97*880*0.0147-0.42)/880*H97)</f>
        <v xml:space="preserve"> </v>
      </c>
      <c r="U97" s="308" t="str">
        <f>IF(N97=" "," ",T97*0.72)</f>
        <v xml:space="preserve"> </v>
      </c>
      <c r="V97" s="307" t="str">
        <f t="shared" ref="V97:AB97" si="103">IF($I97=0," ",V96*$H97/$H96)</f>
        <v xml:space="preserve"> </v>
      </c>
      <c r="W97" s="307" t="str">
        <f t="shared" si="103"/>
        <v xml:space="preserve"> </v>
      </c>
      <c r="X97" s="308" t="str">
        <f t="shared" si="103"/>
        <v xml:space="preserve"> </v>
      </c>
      <c r="Y97" s="307" t="str">
        <f t="shared" si="103"/>
        <v xml:space="preserve"> </v>
      </c>
      <c r="Z97" s="307" t="str">
        <f t="shared" si="103"/>
        <v xml:space="preserve"> </v>
      </c>
      <c r="AA97" s="309" t="str">
        <f t="shared" si="103"/>
        <v xml:space="preserve"> </v>
      </c>
      <c r="AB97" s="310" t="str">
        <f t="shared" si="103"/>
        <v xml:space="preserve"> </v>
      </c>
      <c r="AC97" s="307" t="str">
        <f>IF($I97=""," ",($I97/H97*880*0.0169+0.87)/880*H97)</f>
        <v xml:space="preserve"> </v>
      </c>
      <c r="AD97" s="307" t="str">
        <f>IF(AC97=" "," ",AC97*0.82)</f>
        <v xml:space="preserve"> </v>
      </c>
      <c r="AE97" s="92"/>
      <c r="AF97" s="92"/>
      <c r="AG97" s="92"/>
      <c r="AH97" s="92"/>
      <c r="AI97" s="306" t="str">
        <f>IF($I97=""," ",(H97-AH97)*AU97-I97*AV97-AE97*AW97-AF97-AG97)</f>
        <v xml:space="preserve"> </v>
      </c>
      <c r="AJ97" s="306" t="str">
        <f t="shared" si="80"/>
        <v xml:space="preserve"> </v>
      </c>
      <c r="AK97" s="307" t="str">
        <f t="shared" ref="AK97:AP97" si="104">IF($I97=0," ",AK96*$H97/$H96)</f>
        <v xml:space="preserve"> </v>
      </c>
      <c r="AL97" s="307" t="str">
        <f t="shared" si="104"/>
        <v xml:space="preserve"> </v>
      </c>
      <c r="AM97" s="307" t="str">
        <f t="shared" si="104"/>
        <v xml:space="preserve"> </v>
      </c>
      <c r="AN97" s="306" t="str">
        <f t="shared" si="104"/>
        <v xml:space="preserve"> </v>
      </c>
      <c r="AO97" s="306" t="str">
        <f t="shared" si="104"/>
        <v xml:space="preserve"> </v>
      </c>
      <c r="AP97" s="306" t="str">
        <f t="shared" si="104"/>
        <v xml:space="preserve"> </v>
      </c>
      <c r="AQ97" s="306" t="str">
        <f t="shared" si="87"/>
        <v/>
      </c>
      <c r="AR97" s="306" t="str">
        <f t="shared" si="102"/>
        <v/>
      </c>
      <c r="AS97" s="306" t="str">
        <f>IF($I97=0," ",AX97*K97+AY97*AT97-AF97-AG97)</f>
        <v xml:space="preserve"> </v>
      </c>
      <c r="AT97" s="92" t="str">
        <f>IF(H97=""," ",H97-I97-AE97-AH97-K97)</f>
        <v xml:space="preserve"> </v>
      </c>
      <c r="AU97" s="853" t="str">
        <f>IF($I97=0," ",AU96)</f>
        <v xml:space="preserve"> </v>
      </c>
      <c r="AV97" s="853" t="str">
        <f>IF($I97=0," ",AV96)</f>
        <v xml:space="preserve"> </v>
      </c>
      <c r="AW97" s="853" t="str">
        <f>IF($I97=0," ",AW96)</f>
        <v xml:space="preserve"> </v>
      </c>
      <c r="AX97" s="853" t="str">
        <f>IF($I97=0," ",AX96)</f>
        <v xml:space="preserve"> </v>
      </c>
      <c r="AY97" s="853" t="str">
        <f>IF($I97=0," ",AY96)</f>
        <v xml:space="preserve"> </v>
      </c>
      <c r="AZ97" s="309" t="str">
        <f>IF($I97=0," ",AZ96*$H97/$H96)</f>
        <v xml:space="preserve"> </v>
      </c>
      <c r="BA97" s="92" t="str">
        <f>IF($I97=0," ",BA96*$H97/$H96*K97/K96)</f>
        <v xml:space="preserve"> </v>
      </c>
      <c r="BB97" s="92" t="str">
        <f>IF($I97=0," ",BB96*$H97/$H96*K97/K96)</f>
        <v xml:space="preserve"> </v>
      </c>
      <c r="BC97" s="988" t="str">
        <f t="shared" si="83"/>
        <v/>
      </c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7"/>
      <c r="BQ97" s="277"/>
      <c r="BR97" s="277"/>
      <c r="BS97" s="277"/>
      <c r="BT97" s="277"/>
      <c r="BU97" s="277"/>
      <c r="BV97" s="277"/>
      <c r="BW97" s="277"/>
      <c r="BX97" s="277"/>
      <c r="BY97" s="277"/>
      <c r="BZ97" s="277"/>
      <c r="CA97" s="277"/>
      <c r="CB97" s="277"/>
      <c r="CC97" s="277"/>
      <c r="CD97" s="277"/>
      <c r="CE97" s="277"/>
      <c r="CF97" s="277"/>
      <c r="CG97" s="277"/>
      <c r="CH97" s="277"/>
      <c r="CI97" s="277"/>
      <c r="CJ97" s="277"/>
      <c r="CK97" s="277"/>
      <c r="CL97" s="277"/>
      <c r="CM97" s="277"/>
      <c r="CN97" s="277"/>
      <c r="CO97" s="277"/>
      <c r="CP97" s="277"/>
      <c r="CQ97" s="277"/>
      <c r="CR97" s="277"/>
      <c r="CS97" s="277"/>
      <c r="CT97" s="277"/>
      <c r="CU97" s="277"/>
      <c r="CV97" s="277"/>
      <c r="CW97" s="277"/>
      <c r="CX97" s="277"/>
      <c r="CY97" s="277"/>
      <c r="CZ97" s="277"/>
      <c r="DA97" s="277"/>
      <c r="DB97" s="277"/>
      <c r="DC97" s="277"/>
      <c r="DD97" s="277"/>
      <c r="DE97" s="277"/>
      <c r="DF97" s="277"/>
      <c r="DG97" s="277"/>
      <c r="DH97" s="277"/>
      <c r="DI97" s="277"/>
      <c r="DJ97" s="277"/>
      <c r="DK97" s="277"/>
      <c r="DL97" s="277"/>
      <c r="DM97" s="277"/>
      <c r="DN97" s="277"/>
      <c r="DO97" s="277"/>
      <c r="DP97" s="277"/>
      <c r="DQ97" s="277"/>
      <c r="DR97" s="277"/>
      <c r="DS97" s="277"/>
      <c r="DT97" s="277"/>
      <c r="DU97" s="277"/>
      <c r="DV97" s="277"/>
      <c r="DW97" s="277"/>
      <c r="DX97" s="277"/>
      <c r="DY97" s="277"/>
      <c r="DZ97" s="277"/>
      <c r="EA97" s="277"/>
      <c r="EB97" s="277"/>
      <c r="EC97" s="277"/>
      <c r="ED97" s="277"/>
      <c r="EE97" s="277"/>
      <c r="EF97" s="277"/>
      <c r="EG97" s="277"/>
      <c r="EH97" s="277"/>
      <c r="EI97" s="277"/>
      <c r="EJ97" s="277"/>
      <c r="EK97" s="277"/>
      <c r="EL97" s="277"/>
      <c r="EM97" s="277"/>
    </row>
    <row r="98" spans="1:143" s="4" customFormat="1" ht="12.5" customHeight="1">
      <c r="A98" s="897" t="str">
        <f t="shared" si="93"/>
        <v>RES Ø RES-Monitoring 2005-2014 34% RP Ø BRD</v>
      </c>
      <c r="B98" s="298">
        <f>IF(D98=""," ",COUNTA($D$8:D98))</f>
        <v>89</v>
      </c>
      <c r="C98" s="327"/>
      <c r="D98" s="481" t="s">
        <v>1012</v>
      </c>
      <c r="E98" s="618">
        <f t="shared" si="0"/>
        <v>34</v>
      </c>
      <c r="F98" s="312" t="s">
        <v>1013</v>
      </c>
      <c r="G98" s="313"/>
      <c r="H98" s="314">
        <v>889</v>
      </c>
      <c r="I98" s="314">
        <v>339</v>
      </c>
      <c r="J98" s="314">
        <f>I98*0.71</f>
        <v>240.69</v>
      </c>
      <c r="K98" s="314">
        <v>116</v>
      </c>
      <c r="L98" s="317">
        <f>I98*0.0205*AV98+0.0398*AW98*AE98+0.0173*AF98+0.016*$AG98+0.0147*AI98</f>
        <v>9.8607814999999999</v>
      </c>
      <c r="M98" s="878">
        <f t="shared" si="84"/>
        <v>10.711523100000001</v>
      </c>
      <c r="N98" s="315">
        <v>19.600000000000001</v>
      </c>
      <c r="O98" s="316">
        <f>IF(N98=" "," ",N98*0.73)</f>
        <v>14.308</v>
      </c>
      <c r="P98" s="315">
        <f>7.9+7</f>
        <v>14.9</v>
      </c>
      <c r="Q98" s="316">
        <f>IF(N98=" "," ",P98*0.82)</f>
        <v>12.218</v>
      </c>
      <c r="R98" s="315">
        <v>15.4</v>
      </c>
      <c r="S98" s="316">
        <f>IF(N98=" "," ",R98*0.68)</f>
        <v>10.472000000000001</v>
      </c>
      <c r="T98" s="315">
        <v>4.8</v>
      </c>
      <c r="U98" s="316">
        <f>IF(N98=" "," ",T98*0.72)</f>
        <v>3.456</v>
      </c>
      <c r="V98" s="315">
        <v>7.6</v>
      </c>
      <c r="W98" s="315">
        <v>10.5</v>
      </c>
      <c r="X98" s="316">
        <f>W98*0.3</f>
        <v>3.15</v>
      </c>
      <c r="Y98" s="316">
        <f t="shared" ref="Y98:Y108" si="105">W98*0.65</f>
        <v>6.8250000000000002</v>
      </c>
      <c r="Z98" s="315">
        <v>5.3</v>
      </c>
      <c r="AA98" s="317">
        <v>0.5</v>
      </c>
      <c r="AB98" s="318">
        <v>12.6</v>
      </c>
      <c r="AC98" s="879">
        <v>7</v>
      </c>
      <c r="AD98" s="879">
        <f>AC98*0.82</f>
        <v>5.7399999999999993</v>
      </c>
      <c r="AE98" s="880">
        <v>28.2</v>
      </c>
      <c r="AF98" s="880">
        <v>0</v>
      </c>
      <c r="AG98" s="880">
        <v>71</v>
      </c>
      <c r="AH98" s="880">
        <v>69.099999999999994</v>
      </c>
      <c r="AI98" s="880">
        <f>IF($I98=""," ",(H98-AH98)*AU98-I98*AV98-AE98*AW98-AF98-AG98)</f>
        <v>225.79899999999998</v>
      </c>
      <c r="AJ98" s="880">
        <f t="shared" si="80"/>
        <v>336.70000000000005</v>
      </c>
      <c r="AK98" s="879">
        <f t="shared" ref="AK98:AK104" si="106">AL98+AM98</f>
        <v>8.177999999999999</v>
      </c>
      <c r="AL98" s="879">
        <f>20*AE98/100</f>
        <v>5.64</v>
      </c>
      <c r="AM98" s="879">
        <f>9*AE98/100</f>
        <v>2.5379999999999998</v>
      </c>
      <c r="AN98" s="880"/>
      <c r="AO98" s="880"/>
      <c r="AP98" s="880"/>
      <c r="AQ98" s="314">
        <f t="shared" si="87"/>
        <v>350.69999999999993</v>
      </c>
      <c r="AR98" s="314">
        <f t="shared" si="102"/>
        <v>1258.144</v>
      </c>
      <c r="AS98" s="880">
        <f>AX98*K98+AY98*AT98-AF98-AG98</f>
        <v>200.64999999999992</v>
      </c>
      <c r="AT98" s="314">
        <f t="shared" si="82"/>
        <v>336.69999999999993</v>
      </c>
      <c r="AU98" s="881">
        <v>0.67</v>
      </c>
      <c r="AV98" s="881">
        <v>0.71</v>
      </c>
      <c r="AW98" s="881">
        <v>0.42</v>
      </c>
      <c r="AX98" s="881">
        <v>0.31</v>
      </c>
      <c r="AY98" s="881">
        <v>0.7</v>
      </c>
      <c r="AZ98" s="317">
        <v>0.2</v>
      </c>
      <c r="BA98" s="880">
        <v>206</v>
      </c>
      <c r="BB98" s="880">
        <v>255</v>
      </c>
      <c r="BC98" s="317">
        <f t="shared" si="83"/>
        <v>-4.8775881370000018</v>
      </c>
      <c r="BD98" s="277"/>
      <c r="BE98" s="277"/>
      <c r="BF98" s="277"/>
      <c r="BG98" s="277"/>
      <c r="BH98" s="277"/>
      <c r="BI98" s="277"/>
      <c r="BJ98" s="277"/>
      <c r="BK98" s="277"/>
      <c r="BL98" s="277"/>
      <c r="BM98" s="277"/>
      <c r="BN98" s="277"/>
      <c r="BO98" s="277"/>
      <c r="BP98" s="277"/>
      <c r="BQ98" s="277"/>
      <c r="BR98" s="277"/>
      <c r="BS98" s="277"/>
      <c r="BT98" s="277"/>
      <c r="BU98" s="277"/>
      <c r="BV98" s="277"/>
      <c r="BW98" s="277"/>
      <c r="BX98" s="277"/>
      <c r="BY98" s="277"/>
      <c r="BZ98" s="277"/>
      <c r="CA98" s="277"/>
      <c r="CB98" s="277"/>
      <c r="CC98" s="277"/>
      <c r="CD98" s="277"/>
      <c r="CE98" s="277"/>
      <c r="CF98" s="277"/>
      <c r="CG98" s="277"/>
      <c r="CH98" s="277"/>
      <c r="CI98" s="277"/>
      <c r="CJ98" s="277"/>
      <c r="CK98" s="277"/>
      <c r="CL98" s="277"/>
      <c r="CM98" s="277"/>
      <c r="CN98" s="277"/>
      <c r="CO98" s="277"/>
      <c r="CP98" s="277"/>
      <c r="CQ98" s="277"/>
      <c r="CR98" s="277"/>
      <c r="CS98" s="277"/>
      <c r="CT98" s="277"/>
      <c r="CU98" s="277"/>
      <c r="CV98" s="277"/>
      <c r="CW98" s="277"/>
      <c r="CX98" s="277"/>
      <c r="CY98" s="277"/>
      <c r="CZ98" s="277"/>
      <c r="DA98" s="277"/>
      <c r="DB98" s="277"/>
      <c r="DC98" s="277"/>
      <c r="DD98" s="277"/>
      <c r="DE98" s="277"/>
      <c r="DF98" s="277"/>
      <c r="DG98" s="277"/>
      <c r="DH98" s="277"/>
      <c r="DI98" s="277"/>
      <c r="DJ98" s="277"/>
      <c r="DK98" s="277"/>
      <c r="DL98" s="277"/>
      <c r="DM98" s="277"/>
      <c r="DN98" s="277"/>
      <c r="DO98" s="277"/>
      <c r="DP98" s="277"/>
      <c r="DQ98" s="277"/>
      <c r="DR98" s="277"/>
      <c r="DS98" s="277"/>
      <c r="DT98" s="277"/>
      <c r="DU98" s="277"/>
      <c r="DV98" s="277"/>
      <c r="DW98" s="277"/>
      <c r="DX98" s="277"/>
      <c r="DY98" s="277"/>
      <c r="DZ98" s="277"/>
      <c r="EA98" s="277"/>
      <c r="EB98" s="277"/>
      <c r="EC98" s="277"/>
      <c r="ED98" s="277"/>
      <c r="EE98" s="277"/>
      <c r="EF98" s="277"/>
      <c r="EG98" s="277"/>
      <c r="EH98" s="277"/>
      <c r="EI98" s="277"/>
      <c r="EJ98" s="277"/>
      <c r="EK98" s="277"/>
      <c r="EL98" s="277"/>
      <c r="EM98" s="277"/>
    </row>
    <row r="99" spans="1:143" s="4" customFormat="1" ht="12.5" customHeight="1">
      <c r="A99" s="897" t="str">
        <f t="shared" si="93"/>
        <v xml:space="preserve">Rapskuchen  &gt; 20 % Fett 22% RP </v>
      </c>
      <c r="B99" s="298">
        <f>IF(D99=""," ",COUNTA($D$8:D99))</f>
        <v>90</v>
      </c>
      <c r="C99" s="327"/>
      <c r="D99" s="479" t="s">
        <v>341</v>
      </c>
      <c r="E99" s="617">
        <f t="shared" si="0"/>
        <v>22</v>
      </c>
      <c r="F99" s="319"/>
      <c r="G99" s="320" t="s">
        <v>63</v>
      </c>
      <c r="H99" s="275">
        <v>900</v>
      </c>
      <c r="I99" s="321">
        <v>220</v>
      </c>
      <c r="J99" s="321">
        <f>I99*0.85</f>
        <v>187</v>
      </c>
      <c r="K99" s="321">
        <v>96</v>
      </c>
      <c r="L99" s="303">
        <f>I99*0.0205*AV99+0.0398*AW99*AE99+0.0173*AF99+0.016*$AG99+0.0147*AI99</f>
        <v>15.185009999999998</v>
      </c>
      <c r="M99" s="322">
        <f t="shared" si="84"/>
        <v>14.440027000000001</v>
      </c>
      <c r="N99" s="311">
        <v>13.838709677419354</v>
      </c>
      <c r="O99" s="301">
        <f>N99*0.74</f>
        <v>10.240645161290322</v>
      </c>
      <c r="P99" s="311">
        <v>11.567741935483872</v>
      </c>
      <c r="Q99" s="301">
        <f>P99*(6.3*0.81+7.2*0.7)/13.5</f>
        <v>8.6912301075268825</v>
      </c>
      <c r="R99" s="311">
        <v>10.148387096774194</v>
      </c>
      <c r="S99" s="301">
        <f>R99*0.71</f>
        <v>7.2053548387096775</v>
      </c>
      <c r="T99" s="311">
        <v>2.9806451612903224</v>
      </c>
      <c r="U99" s="301">
        <f>T99*0.71</f>
        <v>2.1162580645161286</v>
      </c>
      <c r="V99" s="311">
        <v>4.967741935483871</v>
      </c>
      <c r="W99" s="311">
        <v>9.2967741935483872</v>
      </c>
      <c r="X99" s="302">
        <f>W99*0.35</f>
        <v>3.2538709677419355</v>
      </c>
      <c r="Y99" s="302">
        <f t="shared" si="105"/>
        <v>6.0429032258064517</v>
      </c>
      <c r="Z99" s="311">
        <v>3.2645161290322577</v>
      </c>
      <c r="AA99" s="322">
        <v>0.1</v>
      </c>
      <c r="AB99" s="323">
        <v>8.5161290322580641</v>
      </c>
      <c r="AC99" s="311">
        <f>IF($I99=""," ",$I99*0.0195-0.01)</f>
        <v>4.28</v>
      </c>
      <c r="AD99" s="311">
        <f>AC99*0.81</f>
        <v>3.4668000000000005</v>
      </c>
      <c r="AE99" s="321">
        <v>214</v>
      </c>
      <c r="AF99" s="321">
        <v>0</v>
      </c>
      <c r="AG99" s="321">
        <v>75</v>
      </c>
      <c r="AH99" s="321">
        <v>45</v>
      </c>
      <c r="AI99" s="612">
        <f>(H99-AH99)*AU99-I99*AV99-AE99*AW99-AF99-AG99</f>
        <v>225.69999999999993</v>
      </c>
      <c r="AJ99" s="321">
        <f t="shared" si="80"/>
        <v>325</v>
      </c>
      <c r="AK99" s="610">
        <f t="shared" si="106"/>
        <v>62.06</v>
      </c>
      <c r="AL99" s="610">
        <f>20*AE99/100</f>
        <v>42.8</v>
      </c>
      <c r="AM99" s="610">
        <f>9*AE99/100</f>
        <v>19.260000000000002</v>
      </c>
      <c r="AN99" s="321"/>
      <c r="AO99" s="321"/>
      <c r="AP99" s="321"/>
      <c r="AQ99" s="612">
        <f t="shared" si="87"/>
        <v>38.710967741935349</v>
      </c>
      <c r="AR99" s="847">
        <f t="shared" si="102"/>
        <v>808.70580645161294</v>
      </c>
      <c r="AS99" s="321">
        <f>AX99*K99+AY99*AT99-AF99-AG99</f>
        <v>233.74</v>
      </c>
      <c r="AT99" s="321">
        <f t="shared" si="82"/>
        <v>325</v>
      </c>
      <c r="AU99" s="852">
        <v>0.76</v>
      </c>
      <c r="AV99" s="852">
        <v>0.76</v>
      </c>
      <c r="AW99" s="852">
        <v>0.85</v>
      </c>
      <c r="AX99" s="852">
        <v>0.44</v>
      </c>
      <c r="AY99" s="852">
        <v>0.82</v>
      </c>
      <c r="AZ99" s="303">
        <f>0.3*H99/1000</f>
        <v>0.27</v>
      </c>
      <c r="BA99" s="321">
        <v>198</v>
      </c>
      <c r="BB99" s="321">
        <v>288</v>
      </c>
      <c r="BC99" s="303">
        <f t="shared" si="83"/>
        <v>12.21521971</v>
      </c>
      <c r="BD99" s="277"/>
      <c r="BE99" s="277"/>
      <c r="BF99" s="277"/>
      <c r="BG99" s="277"/>
      <c r="BH99" s="277"/>
      <c r="BI99" s="277"/>
      <c r="BJ99" s="277"/>
      <c r="BK99" s="277"/>
      <c r="BL99" s="277"/>
      <c r="BM99" s="277"/>
      <c r="BN99" s="277"/>
      <c r="BO99" s="277"/>
      <c r="BP99" s="277"/>
      <c r="BQ99" s="277"/>
      <c r="BR99" s="277"/>
      <c r="BS99" s="277"/>
      <c r="BT99" s="277"/>
      <c r="BU99" s="277"/>
      <c r="BV99" s="277"/>
      <c r="BW99" s="277"/>
      <c r="BX99" s="277"/>
      <c r="BY99" s="277"/>
      <c r="BZ99" s="277"/>
      <c r="CA99" s="277"/>
      <c r="CB99" s="277"/>
      <c r="CC99" s="277"/>
      <c r="CD99" s="277"/>
      <c r="CE99" s="277"/>
      <c r="CF99" s="277"/>
      <c r="CG99" s="277"/>
      <c r="CH99" s="277"/>
      <c r="CI99" s="277"/>
      <c r="CJ99" s="277"/>
      <c r="CK99" s="277"/>
      <c r="CL99" s="277"/>
      <c r="CM99" s="277"/>
      <c r="CN99" s="277"/>
      <c r="CO99" s="277"/>
      <c r="CP99" s="277"/>
      <c r="CQ99" s="277"/>
      <c r="CR99" s="277"/>
      <c r="CS99" s="277"/>
      <c r="CT99" s="277"/>
      <c r="CU99" s="277"/>
      <c r="CV99" s="277"/>
      <c r="CW99" s="277"/>
      <c r="CX99" s="277"/>
      <c r="CY99" s="277"/>
      <c r="CZ99" s="277"/>
      <c r="DA99" s="277"/>
      <c r="DB99" s="277"/>
      <c r="DC99" s="277"/>
      <c r="DD99" s="277"/>
      <c r="DE99" s="277"/>
      <c r="DF99" s="277"/>
      <c r="DG99" s="277"/>
      <c r="DH99" s="277"/>
      <c r="DI99" s="277"/>
      <c r="DJ99" s="277"/>
      <c r="DK99" s="277"/>
      <c r="DL99" s="277"/>
      <c r="DM99" s="277"/>
      <c r="DN99" s="277"/>
      <c r="DO99" s="277"/>
      <c r="DP99" s="277"/>
      <c r="DQ99" s="277"/>
      <c r="DR99" s="277"/>
      <c r="DS99" s="277"/>
      <c r="DT99" s="277"/>
      <c r="DU99" s="277"/>
      <c r="DV99" s="277"/>
      <c r="DW99" s="277"/>
      <c r="DX99" s="277"/>
      <c r="DY99" s="277"/>
      <c r="DZ99" s="277"/>
      <c r="EA99" s="277"/>
      <c r="EB99" s="277"/>
      <c r="EC99" s="277"/>
      <c r="ED99" s="277"/>
      <c r="EE99" s="277"/>
      <c r="EF99" s="277"/>
      <c r="EG99" s="277"/>
      <c r="EH99" s="277"/>
      <c r="EI99" s="277"/>
      <c r="EJ99" s="277"/>
      <c r="EK99" s="277"/>
      <c r="EL99" s="277"/>
      <c r="EM99" s="277"/>
    </row>
    <row r="100" spans="1:143" s="4" customFormat="1" ht="12.5" customHeight="1">
      <c r="A100" s="897" t="str">
        <f t="shared" si="93"/>
        <v xml:space="preserve">Rapskuchen 16 - 20 % Fett 27% RP </v>
      </c>
      <c r="B100" s="298">
        <f>IF(D100=""," ",COUNTA($D$8:D100))</f>
        <v>91</v>
      </c>
      <c r="C100" s="327"/>
      <c r="D100" s="479" t="s">
        <v>342</v>
      </c>
      <c r="E100" s="617">
        <f t="shared" si="0"/>
        <v>27</v>
      </c>
      <c r="F100" s="319"/>
      <c r="G100" s="320" t="s">
        <v>64</v>
      </c>
      <c r="H100" s="275">
        <v>900</v>
      </c>
      <c r="I100" s="321">
        <v>267</v>
      </c>
      <c r="J100" s="321">
        <f>I100*0.85</f>
        <v>226.95</v>
      </c>
      <c r="K100" s="321">
        <v>112</v>
      </c>
      <c r="L100" s="303">
        <f>I100*0.0205*AV100+0.0398*AW100*AE100+0.0173*AF100+0.016*$AG100+0.0147*AI100</f>
        <v>14.427065999999998</v>
      </c>
      <c r="M100" s="322">
        <f t="shared" si="84"/>
        <v>13.328519</v>
      </c>
      <c r="N100" s="311">
        <v>16.855161290322599</v>
      </c>
      <c r="O100" s="301">
        <f>N100*0.74</f>
        <v>12.472819354838723</v>
      </c>
      <c r="P100" s="311">
        <v>14.039032258064518</v>
      </c>
      <c r="Q100" s="301">
        <f>P100*(6.3*0.81+7.2*0.7)/13.5</f>
        <v>10.547992903225808</v>
      </c>
      <c r="R100" s="311">
        <v>12.316451612903228</v>
      </c>
      <c r="S100" s="301">
        <f>R100*0.71</f>
        <v>8.7446806451612904</v>
      </c>
      <c r="T100" s="311">
        <v>3.6174193548387099</v>
      </c>
      <c r="U100" s="301">
        <f>T100*0.71</f>
        <v>2.568367741935484</v>
      </c>
      <c r="V100" s="311">
        <v>6.0290322580645164</v>
      </c>
      <c r="W100" s="311">
        <v>11.282903225806452</v>
      </c>
      <c r="X100" s="302">
        <f>W100*0.35</f>
        <v>3.9490161290322581</v>
      </c>
      <c r="Y100" s="302">
        <f t="shared" si="105"/>
        <v>7.3338870967741938</v>
      </c>
      <c r="Z100" s="311">
        <v>3.9619354838709673</v>
      </c>
      <c r="AA100" s="322">
        <v>0.1</v>
      </c>
      <c r="AB100" s="323">
        <v>10.335483870967742</v>
      </c>
      <c r="AC100" s="311">
        <f>IF($I100=""," ",$I100*0.0195-0.01)</f>
        <v>5.1965000000000003</v>
      </c>
      <c r="AD100" s="311">
        <f>AC100*0.81</f>
        <v>4.2091650000000005</v>
      </c>
      <c r="AE100" s="321">
        <v>174</v>
      </c>
      <c r="AF100" s="321">
        <v>0</v>
      </c>
      <c r="AG100" s="321">
        <v>75</v>
      </c>
      <c r="AH100" s="321">
        <v>55</v>
      </c>
      <c r="AI100" s="612">
        <f>(H100-AH100)*AU100-I100*AV100-AE100*AW100-AF100-AG100</f>
        <v>216.38</v>
      </c>
      <c r="AJ100" s="321">
        <f t="shared" si="80"/>
        <v>292</v>
      </c>
      <c r="AK100" s="610">
        <f t="shared" si="106"/>
        <v>50.459999999999994</v>
      </c>
      <c r="AL100" s="610">
        <f>20*AE100/100</f>
        <v>34.799999999999997</v>
      </c>
      <c r="AM100" s="610">
        <f>9*AE100/100</f>
        <v>15.66</v>
      </c>
      <c r="AN100" s="321"/>
      <c r="AO100" s="321"/>
      <c r="AP100" s="321"/>
      <c r="AQ100" s="612">
        <f t="shared" si="87"/>
        <v>47.656129032257951</v>
      </c>
      <c r="AR100" s="847">
        <f t="shared" si="102"/>
        <v>981.47477419354846</v>
      </c>
      <c r="AS100" s="321">
        <f>AX100*K100+AY100*AT100-AF100-AG100</f>
        <v>213.72000000000003</v>
      </c>
      <c r="AT100" s="321">
        <f t="shared" si="82"/>
        <v>292</v>
      </c>
      <c r="AU100" s="852">
        <v>0.76</v>
      </c>
      <c r="AV100" s="852">
        <v>0.76</v>
      </c>
      <c r="AW100" s="852">
        <v>0.85</v>
      </c>
      <c r="AX100" s="852">
        <v>0.44</v>
      </c>
      <c r="AY100" s="852">
        <v>0.82</v>
      </c>
      <c r="AZ100" s="303">
        <f>0.3*H100/1000</f>
        <v>0.27</v>
      </c>
      <c r="BA100" s="321">
        <v>198</v>
      </c>
      <c r="BB100" s="321">
        <v>288</v>
      </c>
      <c r="BC100" s="303">
        <f t="shared" si="83"/>
        <v>7.2318188699999997</v>
      </c>
      <c r="BD100" s="277"/>
      <c r="BE100" s="277"/>
      <c r="BF100" s="277"/>
      <c r="BG100" s="277"/>
      <c r="BH100" s="277"/>
      <c r="BI100" s="277"/>
      <c r="BJ100" s="277"/>
      <c r="BK100" s="277"/>
      <c r="BL100" s="277"/>
      <c r="BM100" s="277"/>
      <c r="BN100" s="277"/>
      <c r="BO100" s="277"/>
      <c r="BP100" s="277"/>
      <c r="BQ100" s="277"/>
      <c r="BR100" s="277"/>
      <c r="BS100" s="277"/>
      <c r="BT100" s="277"/>
      <c r="BU100" s="277"/>
      <c r="BV100" s="277"/>
      <c r="BW100" s="277"/>
      <c r="BX100" s="277"/>
      <c r="BY100" s="277"/>
      <c r="BZ100" s="277"/>
      <c r="CA100" s="277"/>
      <c r="CB100" s="277"/>
      <c r="CC100" s="277"/>
      <c r="CD100" s="277"/>
      <c r="CE100" s="277"/>
      <c r="CF100" s="277"/>
      <c r="CG100" s="277"/>
      <c r="CH100" s="277"/>
      <c r="CI100" s="277"/>
      <c r="CJ100" s="277"/>
      <c r="CK100" s="277"/>
      <c r="CL100" s="277"/>
      <c r="CM100" s="277"/>
      <c r="CN100" s="277"/>
      <c r="CO100" s="277"/>
      <c r="CP100" s="277"/>
      <c r="CQ100" s="277"/>
      <c r="CR100" s="277"/>
      <c r="CS100" s="277"/>
      <c r="CT100" s="277"/>
      <c r="CU100" s="277"/>
      <c r="CV100" s="277"/>
      <c r="CW100" s="277"/>
      <c r="CX100" s="277"/>
      <c r="CY100" s="277"/>
      <c r="CZ100" s="277"/>
      <c r="DA100" s="277"/>
      <c r="DB100" s="277"/>
      <c r="DC100" s="277"/>
      <c r="DD100" s="277"/>
      <c r="DE100" s="277"/>
      <c r="DF100" s="277"/>
      <c r="DG100" s="277"/>
      <c r="DH100" s="277"/>
      <c r="DI100" s="277"/>
      <c r="DJ100" s="277"/>
      <c r="DK100" s="277"/>
      <c r="DL100" s="277"/>
      <c r="DM100" s="277"/>
      <c r="DN100" s="277"/>
      <c r="DO100" s="277"/>
      <c r="DP100" s="277"/>
      <c r="DQ100" s="277"/>
      <c r="DR100" s="277"/>
      <c r="DS100" s="277"/>
      <c r="DT100" s="277"/>
      <c r="DU100" s="277"/>
      <c r="DV100" s="277"/>
      <c r="DW100" s="277"/>
      <c r="DX100" s="277"/>
      <c r="DY100" s="277"/>
      <c r="DZ100" s="277"/>
      <c r="EA100" s="277"/>
      <c r="EB100" s="277"/>
      <c r="EC100" s="277"/>
      <c r="ED100" s="277"/>
      <c r="EE100" s="277"/>
      <c r="EF100" s="277"/>
      <c r="EG100" s="277"/>
      <c r="EH100" s="277"/>
      <c r="EI100" s="277"/>
      <c r="EJ100" s="277"/>
      <c r="EK100" s="277"/>
      <c r="EL100" s="277"/>
      <c r="EM100" s="277"/>
    </row>
    <row r="101" spans="1:143" s="4" customFormat="1" ht="12.5" customHeight="1">
      <c r="A101" s="897" t="str">
        <f t="shared" si="93"/>
        <v xml:space="preserve">Rapskuchen 12 - 16 % Fett 28% RP </v>
      </c>
      <c r="B101" s="298">
        <f>IF(D101=""," ",COUNTA($D$8:D101))</f>
        <v>92</v>
      </c>
      <c r="C101" s="327"/>
      <c r="D101" s="481" t="s">
        <v>343</v>
      </c>
      <c r="E101" s="618">
        <f t="shared" ref="E101:E168" si="107">IF(I101=0," ",ROUND(I101/10,0))</f>
        <v>28</v>
      </c>
      <c r="F101" s="312"/>
      <c r="G101" s="313" t="s">
        <v>65</v>
      </c>
      <c r="H101" s="314">
        <v>900</v>
      </c>
      <c r="I101" s="314">
        <v>280</v>
      </c>
      <c r="J101" s="314">
        <f>I101*0.85</f>
        <v>238</v>
      </c>
      <c r="K101" s="314">
        <v>108</v>
      </c>
      <c r="L101" s="317">
        <f>I101*0.0205*AV101+0.0398*AW101*AE101+0.0173*AF101+0.016*$AG101+0.0147*AI101</f>
        <v>13.693966000000001</v>
      </c>
      <c r="M101" s="882">
        <f t="shared" si="84"/>
        <v>12.889975</v>
      </c>
      <c r="N101" s="315">
        <v>17.424193548387098</v>
      </c>
      <c r="O101" s="316">
        <f>N101*0.74</f>
        <v>12.893903225806453</v>
      </c>
      <c r="P101" s="315">
        <v>14.564838709677421</v>
      </c>
      <c r="Q101" s="316">
        <f>P101*(6.3*0.81+7.2*0.7)/13.5</f>
        <v>10.943048817204303</v>
      </c>
      <c r="R101" s="315">
        <v>12.777741935483872</v>
      </c>
      <c r="S101" s="316">
        <f>R101*0.71</f>
        <v>9.0721967741935483</v>
      </c>
      <c r="T101" s="315">
        <v>3.7529032258064521</v>
      </c>
      <c r="U101" s="316">
        <f>T101*0.71</f>
        <v>2.664561290322581</v>
      </c>
      <c r="V101" s="315">
        <v>6.2548387096774194</v>
      </c>
      <c r="W101" s="315">
        <v>11.705483870967742</v>
      </c>
      <c r="X101" s="315">
        <f>W101*0.35</f>
        <v>4.0969193548387093</v>
      </c>
      <c r="Y101" s="316">
        <f t="shared" si="105"/>
        <v>7.6085645161290323</v>
      </c>
      <c r="Z101" s="315">
        <v>4.1103225806451604</v>
      </c>
      <c r="AA101" s="317">
        <v>0.1</v>
      </c>
      <c r="AB101" s="318">
        <v>10.72258064516129</v>
      </c>
      <c r="AC101" s="883">
        <f>IF($I101=""," ",$I101*0.0195-0.01)</f>
        <v>5.45</v>
      </c>
      <c r="AD101" s="883">
        <f>AC101*0.81</f>
        <v>4.4145000000000003</v>
      </c>
      <c r="AE101" s="884">
        <v>138</v>
      </c>
      <c r="AF101" s="884">
        <v>0</v>
      </c>
      <c r="AG101" s="884">
        <v>75</v>
      </c>
      <c r="AH101" s="884">
        <v>57</v>
      </c>
      <c r="AI101" s="880">
        <f>IF($I101=""," ",(H101-AH101)*AU101-I101*AV101-AE101*AW101-AF101-AG101)</f>
        <v>235.58000000000004</v>
      </c>
      <c r="AJ101" s="884">
        <f t="shared" si="80"/>
        <v>317</v>
      </c>
      <c r="AK101" s="885">
        <f t="shared" si="106"/>
        <v>40.020000000000003</v>
      </c>
      <c r="AL101" s="885">
        <f>20*AE101/100</f>
        <v>27.6</v>
      </c>
      <c r="AM101" s="885">
        <f>9*AE101/100</f>
        <v>12.42</v>
      </c>
      <c r="AN101" s="884"/>
      <c r="AO101" s="884"/>
      <c r="AP101" s="884"/>
      <c r="AQ101" s="314">
        <f t="shared" si="87"/>
        <v>49.559354838709453</v>
      </c>
      <c r="AR101" s="314">
        <f t="shared" si="102"/>
        <v>1025.7341290322579</v>
      </c>
      <c r="AS101" s="884">
        <f>AX101*K101+AY101*AT101-AF101-AG101</f>
        <v>232.45999999999998</v>
      </c>
      <c r="AT101" s="314">
        <f>IF(H101=""," ",H101-I101-AE101-AH101-K101)</f>
        <v>317</v>
      </c>
      <c r="AU101" s="886">
        <v>0.76</v>
      </c>
      <c r="AV101" s="886">
        <v>0.76</v>
      </c>
      <c r="AW101" s="886">
        <v>0.85</v>
      </c>
      <c r="AX101" s="886">
        <v>0.44</v>
      </c>
      <c r="AY101" s="886">
        <v>0.82</v>
      </c>
      <c r="AZ101" s="317">
        <f>0.3*H101/1000</f>
        <v>0.27</v>
      </c>
      <c r="BA101" s="884">
        <v>198</v>
      </c>
      <c r="BB101" s="884">
        <v>288</v>
      </c>
      <c r="BC101" s="317">
        <f t="shared" si="83"/>
        <v>4.7316817500000008</v>
      </c>
      <c r="BD101" s="277"/>
      <c r="BE101" s="277"/>
      <c r="BF101" s="277"/>
      <c r="BG101" s="277"/>
      <c r="BH101" s="277"/>
      <c r="BI101" s="277"/>
      <c r="BJ101" s="277"/>
      <c r="BK101" s="277"/>
      <c r="BL101" s="277"/>
      <c r="BM101" s="277"/>
      <c r="BN101" s="277"/>
      <c r="BO101" s="277"/>
      <c r="BP101" s="277"/>
      <c r="BQ101" s="277"/>
      <c r="BR101" s="277"/>
      <c r="BS101" s="277"/>
      <c r="BT101" s="277"/>
      <c r="BU101" s="277"/>
      <c r="BV101" s="277"/>
      <c r="BW101" s="277"/>
      <c r="BX101" s="277"/>
      <c r="BY101" s="277"/>
      <c r="BZ101" s="277"/>
      <c r="CA101" s="277"/>
      <c r="CB101" s="277"/>
      <c r="CC101" s="277"/>
      <c r="CD101" s="277"/>
      <c r="CE101" s="277"/>
      <c r="CF101" s="277"/>
      <c r="CG101" s="277"/>
      <c r="CH101" s="277"/>
      <c r="CI101" s="277"/>
      <c r="CJ101" s="277"/>
      <c r="CK101" s="277"/>
      <c r="CL101" s="277"/>
      <c r="CM101" s="277"/>
      <c r="CN101" s="277"/>
      <c r="CO101" s="277"/>
      <c r="CP101" s="277"/>
      <c r="CQ101" s="277"/>
      <c r="CR101" s="277"/>
      <c r="CS101" s="277"/>
      <c r="CT101" s="277"/>
      <c r="CU101" s="277"/>
      <c r="CV101" s="277"/>
      <c r="CW101" s="277"/>
      <c r="CX101" s="277"/>
      <c r="CY101" s="277"/>
      <c r="CZ101" s="277"/>
      <c r="DA101" s="277"/>
      <c r="DB101" s="277"/>
      <c r="DC101" s="277"/>
      <c r="DD101" s="277"/>
      <c r="DE101" s="277"/>
      <c r="DF101" s="277"/>
      <c r="DG101" s="277"/>
      <c r="DH101" s="277"/>
      <c r="DI101" s="277"/>
      <c r="DJ101" s="277"/>
      <c r="DK101" s="277"/>
      <c r="DL101" s="277"/>
      <c r="DM101" s="277"/>
      <c r="DN101" s="277"/>
      <c r="DO101" s="277"/>
      <c r="DP101" s="277"/>
      <c r="DQ101" s="277"/>
      <c r="DR101" s="277"/>
      <c r="DS101" s="277"/>
      <c r="DT101" s="277"/>
      <c r="DU101" s="277"/>
      <c r="DV101" s="277"/>
      <c r="DW101" s="277"/>
      <c r="DX101" s="277"/>
      <c r="DY101" s="277"/>
      <c r="DZ101" s="277"/>
      <c r="EA101" s="277"/>
      <c r="EB101" s="277"/>
      <c r="EC101" s="277"/>
      <c r="ED101" s="277"/>
      <c r="EE101" s="277"/>
      <c r="EF101" s="277"/>
      <c r="EG101" s="277"/>
      <c r="EH101" s="277"/>
      <c r="EI101" s="277"/>
      <c r="EJ101" s="277"/>
      <c r="EK101" s="277"/>
      <c r="EL101" s="277"/>
      <c r="EM101" s="277"/>
    </row>
    <row r="102" spans="1:143" s="3" customFormat="1" ht="12.5" customHeight="1">
      <c r="A102" s="897" t="str">
        <f t="shared" si="93"/>
        <v xml:space="preserve">Rapskuchen   8 - 12 % Fett 30% RP </v>
      </c>
      <c r="B102" s="298">
        <f>IF(D102=""," ",COUNTA($D$8:D102))</f>
        <v>93</v>
      </c>
      <c r="C102" s="327"/>
      <c r="D102" s="479" t="s">
        <v>344</v>
      </c>
      <c r="E102" s="617">
        <f t="shared" si="107"/>
        <v>30</v>
      </c>
      <c r="F102" s="299"/>
      <c r="G102" s="300" t="s">
        <v>66</v>
      </c>
      <c r="H102" s="275">
        <v>900</v>
      </c>
      <c r="I102" s="275">
        <v>299</v>
      </c>
      <c r="J102" s="321">
        <f>I102*0.85</f>
        <v>254.15</v>
      </c>
      <c r="K102" s="275">
        <v>114</v>
      </c>
      <c r="L102" s="303">
        <f>I102*0.0205*AV102+0.0398*AW102*AE102+0.0173*AF102+0.016*$AG102+0.0147*AI102</f>
        <v>13.092979999999999</v>
      </c>
      <c r="M102" s="322">
        <f t="shared" si="84"/>
        <v>12.211897</v>
      </c>
      <c r="N102" s="274">
        <v>18.745161290322581</v>
      </c>
      <c r="O102" s="301">
        <f>N102*0.74</f>
        <v>13.871419354838711</v>
      </c>
      <c r="P102" s="274">
        <v>15.669032258064519</v>
      </c>
      <c r="Q102" s="301">
        <f>P102*(6.3*0.81+7.2*0.7)/13.5</f>
        <v>11.772666236559143</v>
      </c>
      <c r="R102" s="274">
        <v>13.746451612903227</v>
      </c>
      <c r="S102" s="301">
        <f>R102*0.71</f>
        <v>9.7599806451612903</v>
      </c>
      <c r="T102" s="274">
        <v>4.0374193548387103</v>
      </c>
      <c r="U102" s="301">
        <f>T102*0.71</f>
        <v>2.866567741935484</v>
      </c>
      <c r="V102" s="274">
        <v>6.7290322580645165</v>
      </c>
      <c r="W102" s="274">
        <v>12.592903225806451</v>
      </c>
      <c r="X102" s="302">
        <f>W102*0.35</f>
        <v>4.4075161290322571</v>
      </c>
      <c r="Y102" s="301">
        <f t="shared" si="105"/>
        <v>8.1853870967741926</v>
      </c>
      <c r="Z102" s="274">
        <v>4.4219354838709677</v>
      </c>
      <c r="AA102" s="303">
        <v>0.1</v>
      </c>
      <c r="AB102" s="276">
        <v>11.535483870967742</v>
      </c>
      <c r="AC102" s="311">
        <f>IF($I102=""," ",$I102*0.0195-0.01)</f>
        <v>5.8205</v>
      </c>
      <c r="AD102" s="311">
        <f>AC102*0.81</f>
        <v>4.7146050000000006</v>
      </c>
      <c r="AE102" s="321">
        <v>108</v>
      </c>
      <c r="AF102" s="321">
        <v>0</v>
      </c>
      <c r="AG102" s="321">
        <v>75</v>
      </c>
      <c r="AH102" s="321">
        <v>61</v>
      </c>
      <c r="AI102" s="612">
        <f>(H102-AH102)*AU102-I102*AV102-AE102*AW102-AF102-AG102</f>
        <v>243.59999999999997</v>
      </c>
      <c r="AJ102" s="321">
        <f t="shared" si="80"/>
        <v>318</v>
      </c>
      <c r="AK102" s="610">
        <f t="shared" si="106"/>
        <v>31.32</v>
      </c>
      <c r="AL102" s="610">
        <f>20*AE102/100</f>
        <v>21.6</v>
      </c>
      <c r="AM102" s="610">
        <f>9*AE102/100</f>
        <v>9.7200000000000006</v>
      </c>
      <c r="AN102" s="321"/>
      <c r="AO102" s="321"/>
      <c r="AP102" s="321"/>
      <c r="AQ102" s="612">
        <f t="shared" si="87"/>
        <v>53.556129032258184</v>
      </c>
      <c r="AR102" s="847">
        <f t="shared" si="102"/>
        <v>1097.9287741935484</v>
      </c>
      <c r="AS102" s="321">
        <f>AX102*K102+AY102*AT102-AF102-AG102</f>
        <v>235.92000000000002</v>
      </c>
      <c r="AT102" s="321">
        <f>IF(H102=""," ",H102-I102-AE102-AH102-K102)</f>
        <v>318</v>
      </c>
      <c r="AU102" s="852">
        <v>0.76</v>
      </c>
      <c r="AV102" s="852">
        <v>0.76</v>
      </c>
      <c r="AW102" s="852">
        <v>0.85</v>
      </c>
      <c r="AX102" s="852">
        <v>0.44</v>
      </c>
      <c r="AY102" s="852">
        <v>0.82</v>
      </c>
      <c r="AZ102" s="303">
        <f>0.3*H102/1000</f>
        <v>0.27</v>
      </c>
      <c r="BA102" s="321">
        <v>198</v>
      </c>
      <c r="BB102" s="321">
        <v>288</v>
      </c>
      <c r="BC102" s="303">
        <f t="shared" si="83"/>
        <v>1.8086848100000017</v>
      </c>
      <c r="BD102" s="277"/>
      <c r="BE102" s="277"/>
      <c r="BF102" s="277"/>
      <c r="BG102" s="277"/>
      <c r="BH102" s="277"/>
      <c r="BI102" s="277"/>
      <c r="BJ102" s="277"/>
      <c r="BK102" s="277"/>
      <c r="BL102" s="277"/>
      <c r="BM102" s="277"/>
      <c r="BN102" s="277"/>
      <c r="BO102" s="277"/>
      <c r="BP102" s="277"/>
      <c r="BQ102" s="277"/>
      <c r="BR102" s="277"/>
      <c r="BS102" s="277"/>
      <c r="BT102" s="277"/>
      <c r="BU102" s="277"/>
      <c r="BV102" s="277"/>
      <c r="BW102" s="277"/>
      <c r="BX102" s="277"/>
      <c r="BY102" s="277"/>
      <c r="BZ102" s="277"/>
      <c r="CA102" s="277"/>
      <c r="CB102" s="277"/>
      <c r="CC102" s="277"/>
      <c r="CD102" s="277"/>
      <c r="CE102" s="277"/>
      <c r="CF102" s="277"/>
      <c r="CG102" s="277"/>
      <c r="CH102" s="277"/>
      <c r="CI102" s="277"/>
      <c r="CJ102" s="277"/>
      <c r="CK102" s="277"/>
      <c r="CL102" s="277"/>
      <c r="CM102" s="277"/>
      <c r="CN102" s="277"/>
      <c r="CO102" s="277"/>
      <c r="CP102" s="277"/>
      <c r="CQ102" s="277"/>
      <c r="CR102" s="277"/>
      <c r="CS102" s="277"/>
      <c r="CT102" s="277"/>
      <c r="CU102" s="277"/>
      <c r="CV102" s="277"/>
      <c r="CW102" s="277"/>
      <c r="CX102" s="277"/>
      <c r="CY102" s="277"/>
      <c r="CZ102" s="277"/>
      <c r="DA102" s="277"/>
      <c r="DB102" s="277"/>
      <c r="DC102" s="277"/>
      <c r="DD102" s="277"/>
      <c r="DE102" s="277"/>
      <c r="DF102" s="277"/>
      <c r="DG102" s="277"/>
      <c r="DH102" s="277"/>
      <c r="DI102" s="277"/>
      <c r="DJ102" s="277"/>
      <c r="DK102" s="277"/>
      <c r="DL102" s="277"/>
      <c r="DM102" s="277"/>
      <c r="DN102" s="277"/>
      <c r="DO102" s="277"/>
      <c r="DP102" s="277"/>
      <c r="DQ102" s="277"/>
      <c r="DR102" s="277"/>
      <c r="DS102" s="277"/>
      <c r="DT102" s="277"/>
      <c r="DU102" s="277"/>
      <c r="DV102" s="277"/>
      <c r="DW102" s="277"/>
      <c r="DX102" s="277"/>
      <c r="DY102" s="277"/>
      <c r="DZ102" s="277"/>
      <c r="EA102" s="277"/>
      <c r="EB102" s="277"/>
      <c r="EC102" s="277"/>
      <c r="ED102" s="277"/>
      <c r="EE102" s="277"/>
      <c r="EF102" s="277"/>
      <c r="EG102" s="277"/>
      <c r="EH102" s="277"/>
      <c r="EI102" s="277"/>
      <c r="EJ102" s="277"/>
      <c r="EK102" s="277"/>
      <c r="EL102" s="277"/>
      <c r="EM102" s="277"/>
    </row>
    <row r="103" spans="1:143" s="3" customFormat="1" ht="12.5" customHeight="1">
      <c r="A103" s="897" t="str">
        <f>IF(E103=" ",D103&amp;" "&amp;F103,D103&amp;" "&amp;E103&amp;"% RP "&amp;F103)</f>
        <v>Sojabohne (dampferhitzt) 36% RP DLG 2014</v>
      </c>
      <c r="B103" s="298">
        <f>IF(D103=""," ",COUNTA($D$8:D103))</f>
        <v>94</v>
      </c>
      <c r="C103" s="327"/>
      <c r="D103" s="1101" t="s">
        <v>676</v>
      </c>
      <c r="E103" s="619">
        <f t="shared" si="107"/>
        <v>36</v>
      </c>
      <c r="F103" s="304" t="s">
        <v>969</v>
      </c>
      <c r="G103" s="305"/>
      <c r="H103" s="91">
        <v>890</v>
      </c>
      <c r="I103" s="91">
        <v>356</v>
      </c>
      <c r="J103" s="306">
        <f>IF(I103=0," ",I103*0.76)</f>
        <v>270.56</v>
      </c>
      <c r="K103" s="91">
        <v>55</v>
      </c>
      <c r="L103" s="988">
        <f>IF($I103=""," ",I103*0.0205*AV103+0.0398*AW103*AE103+0.0173*AF103+0.016*$AG103+0.0147*AI103)</f>
        <v>15.76002783</v>
      </c>
      <c r="M103" s="988">
        <f t="shared" si="84"/>
        <v>16.149187829999999</v>
      </c>
      <c r="N103" s="307">
        <f>IF(I103=0," ",(I103/H103*880*0.0523+4.14)/880*H103)</f>
        <v>22.805845454545455</v>
      </c>
      <c r="O103" s="308">
        <f>IF(N103=" "," ",N103*0.8)</f>
        <v>18.244676363636366</v>
      </c>
      <c r="P103" s="307">
        <f>IF(N103=" "," ",(I103/H103*880*0.0274+0.33)/880*H103)</f>
        <v>10.088149999999999</v>
      </c>
      <c r="Q103" s="308">
        <f>IF(N103=" "," ",P103*(4.8*0.78+5.3*0.75)/10.1)</f>
        <v>7.7099435495049491</v>
      </c>
      <c r="R103" s="307">
        <f>IF(N103=" "," ",(I103/H103*880*0.035+1.52)/880*H103)</f>
        <v>13.997272727272728</v>
      </c>
      <c r="S103" s="308">
        <f>IF(N103=" "," ",R103*0.74)</f>
        <v>10.357981818181818</v>
      </c>
      <c r="T103" s="307">
        <f>IF(N103=" "," ",(I103/H103*880*0.0136-0.13)/880*H103)</f>
        <v>4.7101227272727275</v>
      </c>
      <c r="U103" s="308">
        <f>IF(N103=" "," ",T103*0.76)</f>
        <v>3.579693272727273</v>
      </c>
      <c r="V103" s="307">
        <f>2.8*H103/1000</f>
        <v>2.492</v>
      </c>
      <c r="W103" s="307">
        <v>5.8</v>
      </c>
      <c r="X103" s="307">
        <f>W103*0.4</f>
        <v>2.3199999999999998</v>
      </c>
      <c r="Y103" s="307">
        <f>IF($H103=0," ",W103*0.65)</f>
        <v>3.77</v>
      </c>
      <c r="Z103" s="307">
        <v>2.5</v>
      </c>
      <c r="AA103" s="309">
        <v>0.2</v>
      </c>
      <c r="AB103" s="310">
        <v>14.7</v>
      </c>
      <c r="AC103" s="307">
        <f>IF($I103=""," ",($I103/H103*880*0.013+0.19)/880*H103)</f>
        <v>4.8201590909090912</v>
      </c>
      <c r="AD103" s="307">
        <f>IF(AC103=" "," ",AC103*0.78)</f>
        <v>3.7597240909090912</v>
      </c>
      <c r="AE103" s="92">
        <v>181</v>
      </c>
      <c r="AF103" s="92">
        <v>52</v>
      </c>
      <c r="AG103" s="92">
        <v>71</v>
      </c>
      <c r="AH103" s="92">
        <f>53*H103/1000</f>
        <v>47.17</v>
      </c>
      <c r="AI103" s="306">
        <f>IF($I103=""," ",(H103-AH103)*AU103-I103*AV103-AE103*AW103-AF103-AG103)</f>
        <v>159.37889999999999</v>
      </c>
      <c r="AJ103" s="306">
        <f t="shared" si="80"/>
        <v>198.82999999999993</v>
      </c>
      <c r="AK103" s="307">
        <f>116.5*935/1000</f>
        <v>108.92749999999999</v>
      </c>
      <c r="AL103" s="307">
        <f>54*AE103/100</f>
        <v>97.74</v>
      </c>
      <c r="AM103" s="307">
        <f>4*AE103/100</f>
        <v>7.24</v>
      </c>
      <c r="AN103" s="306">
        <f>IF($I103=0," ",AN102*$H103/$H102)</f>
        <v>0</v>
      </c>
      <c r="AO103" s="306">
        <f>IF($I103=0," ",AO102*$H103/$H102)</f>
        <v>0</v>
      </c>
      <c r="AP103" s="306">
        <f>IF($I103=0," ",AP102*$H103/$H102)</f>
        <v>0</v>
      </c>
      <c r="AQ103" s="306">
        <f t="shared" si="87"/>
        <v>229.81804999999994</v>
      </c>
      <c r="AR103" s="306">
        <f t="shared" si="102"/>
        <v>1061.6888799999999</v>
      </c>
      <c r="AS103" s="306">
        <f>IF($I103=0," ",AX103*K103+AY103*AT103-AF103-AG103)</f>
        <v>129.0138</v>
      </c>
      <c r="AT103" s="92">
        <f t="shared" ref="AT103:AT150" si="108">IF(H103=""," ",H103-I103-AE103-AH103-K103)</f>
        <v>250.82999999999998</v>
      </c>
      <c r="AU103" s="853">
        <f>IF($I103=0," ",83%)</f>
        <v>0.83</v>
      </c>
      <c r="AV103" s="853">
        <v>0.76</v>
      </c>
      <c r="AW103" s="853">
        <f>IF($I103=0," ",81%)</f>
        <v>0.81</v>
      </c>
      <c r="AX103" s="853">
        <f>IF($I103=0," ",66%)</f>
        <v>0.66</v>
      </c>
      <c r="AY103" s="853">
        <f>IF($I103=0," ",86%)</f>
        <v>0.86</v>
      </c>
      <c r="AZ103" s="309">
        <f>0.8*H103/1000</f>
        <v>0.71199999999999997</v>
      </c>
      <c r="BA103" s="92">
        <v>138</v>
      </c>
      <c r="BB103" s="92">
        <v>168</v>
      </c>
      <c r="BC103" s="988">
        <f t="shared" si="83"/>
        <v>10.300907115900003</v>
      </c>
      <c r="BD103" s="277"/>
      <c r="BE103" s="277"/>
      <c r="BF103" s="277"/>
      <c r="BG103" s="277"/>
      <c r="BH103" s="277"/>
      <c r="BI103" s="277"/>
      <c r="BJ103" s="277"/>
      <c r="BK103" s="277"/>
      <c r="BL103" s="277"/>
      <c r="BM103" s="277"/>
      <c r="BN103" s="277"/>
      <c r="BO103" s="277"/>
      <c r="BP103" s="277"/>
      <c r="BQ103" s="277"/>
      <c r="BR103" s="277"/>
      <c r="BS103" s="277"/>
      <c r="BT103" s="277"/>
      <c r="BU103" s="277"/>
      <c r="BV103" s="277"/>
      <c r="BW103" s="277"/>
      <c r="BX103" s="277"/>
      <c r="BY103" s="277"/>
      <c r="BZ103" s="277"/>
      <c r="CA103" s="277"/>
      <c r="CB103" s="277"/>
      <c r="CC103" s="277"/>
      <c r="CD103" s="277"/>
      <c r="CE103" s="277"/>
      <c r="CF103" s="277"/>
      <c r="CG103" s="277"/>
      <c r="CH103" s="277"/>
      <c r="CI103" s="277"/>
      <c r="CJ103" s="277"/>
      <c r="CK103" s="277"/>
      <c r="CL103" s="277"/>
      <c r="CM103" s="277"/>
      <c r="CN103" s="277"/>
      <c r="CO103" s="277"/>
      <c r="CP103" s="277"/>
      <c r="CQ103" s="277"/>
      <c r="CR103" s="277"/>
      <c r="CS103" s="277"/>
      <c r="CT103" s="277"/>
      <c r="CU103" s="277"/>
      <c r="CV103" s="277"/>
      <c r="CW103" s="277"/>
      <c r="CX103" s="277"/>
      <c r="CY103" s="277"/>
      <c r="CZ103" s="277"/>
      <c r="DA103" s="277"/>
      <c r="DB103" s="277"/>
      <c r="DC103" s="277"/>
      <c r="DD103" s="277"/>
      <c r="DE103" s="277"/>
      <c r="DF103" s="277"/>
      <c r="DG103" s="277"/>
      <c r="DH103" s="277"/>
      <c r="DI103" s="277"/>
      <c r="DJ103" s="277"/>
      <c r="DK103" s="277"/>
      <c r="DL103" s="277"/>
      <c r="DM103" s="277"/>
      <c r="DN103" s="277"/>
      <c r="DO103" s="277"/>
      <c r="DP103" s="277"/>
      <c r="DQ103" s="277"/>
      <c r="DR103" s="277"/>
      <c r="DS103" s="277"/>
      <c r="DT103" s="277"/>
      <c r="DU103" s="277"/>
      <c r="DV103" s="277"/>
      <c r="DW103" s="277"/>
      <c r="DX103" s="277"/>
      <c r="DY103" s="277"/>
      <c r="DZ103" s="277"/>
      <c r="EA103" s="277"/>
      <c r="EB103" s="277"/>
      <c r="EC103" s="277"/>
      <c r="ED103" s="277"/>
      <c r="EE103" s="277"/>
      <c r="EF103" s="277"/>
      <c r="EG103" s="277"/>
      <c r="EH103" s="277"/>
      <c r="EI103" s="277"/>
      <c r="EJ103" s="277"/>
      <c r="EK103" s="277"/>
      <c r="EL103" s="277"/>
      <c r="EM103" s="277"/>
    </row>
    <row r="104" spans="1:143" s="4" customFormat="1" ht="12.5" customHeight="1">
      <c r="A104" s="897" t="str">
        <f t="shared" si="93"/>
        <v xml:space="preserve">Sojakuchen / Expeller, Bioland 42% RP </v>
      </c>
      <c r="B104" s="298">
        <f>IF(D104=""," ",COUNTA($D$8:D104))</f>
        <v>95</v>
      </c>
      <c r="C104" s="327"/>
      <c r="D104" s="602" t="s">
        <v>636</v>
      </c>
      <c r="E104" s="617">
        <f t="shared" si="107"/>
        <v>42</v>
      </c>
      <c r="F104" s="319"/>
      <c r="G104" s="320"/>
      <c r="H104" s="321">
        <v>910</v>
      </c>
      <c r="I104" s="321">
        <v>420</v>
      </c>
      <c r="J104" s="321">
        <f>IF(I104=0," ",I104*0.87)</f>
        <v>365.4</v>
      </c>
      <c r="K104" s="321">
        <v>60</v>
      </c>
      <c r="L104" s="303">
        <f t="shared" ref="L104:L112" si="109">I104*0.0205*AV104+0.0398*AW104*AE104+0.0173*AF104+0.016*$AG104+0.0147*AI104</f>
        <v>14.39615</v>
      </c>
      <c r="M104" s="322">
        <f t="shared" si="84"/>
        <v>14.718490000000003</v>
      </c>
      <c r="N104" s="311">
        <f>IF(I104=0," ",(I104/H104*880*0.0685-3.28)/880*H104)</f>
        <v>25.378181818181822</v>
      </c>
      <c r="O104" s="302">
        <f>IF(N104=" "," ",N104*0.89)</f>
        <v>22.586581818181823</v>
      </c>
      <c r="P104" s="311">
        <f>IF(N104=" "," ",(I104/H104*880*0.0252+1.38)/880*H104)</f>
        <v>12.011045454545457</v>
      </c>
      <c r="Q104" s="302">
        <f>IF(N104=" "," ",P104*(6.1*0.9+8.9*0.83)/15)</f>
        <v>10.311082154545456</v>
      </c>
      <c r="R104" s="311">
        <f>IF(N104=" "," ",(I104/H104*880*0.034+2.11)/880*H104)</f>
        <v>16.461931818181821</v>
      </c>
      <c r="S104" s="302">
        <f>IF(N104=" "," ",R104*0.85)</f>
        <v>13.992642045454547</v>
      </c>
      <c r="T104" s="311">
        <f>IF(N104=" "," ",(I104/H104*880*0.0102+1.32)/880*H104)</f>
        <v>5.6490000000000009</v>
      </c>
      <c r="U104" s="302">
        <f>IF(N104=" "," ",T104*0.88)</f>
        <v>4.9711200000000009</v>
      </c>
      <c r="V104" s="311">
        <v>2.5</v>
      </c>
      <c r="W104" s="311">
        <v>5.6</v>
      </c>
      <c r="X104" s="302">
        <f>W104*0.4</f>
        <v>2.2399999999999998</v>
      </c>
      <c r="Y104" s="301">
        <f>IF($H104=0," ",W104*0.65)</f>
        <v>3.6399999999999997</v>
      </c>
      <c r="Z104" s="311">
        <v>2.5</v>
      </c>
      <c r="AA104" s="322">
        <v>0.4</v>
      </c>
      <c r="AB104" s="323">
        <v>14.7</v>
      </c>
      <c r="AC104" s="311">
        <f>IF($I104=""," ",($I104/H104*880*0.0121+0.68)/880*H104)</f>
        <v>5.785181818181818</v>
      </c>
      <c r="AD104" s="311">
        <f t="shared" ref="AD104:AD112" si="110">AC104*0.88</f>
        <v>5.0909599999999999</v>
      </c>
      <c r="AE104" s="321">
        <v>80</v>
      </c>
      <c r="AF104" s="321">
        <v>55</v>
      </c>
      <c r="AG104" s="321">
        <v>105</v>
      </c>
      <c r="AH104" s="321">
        <v>60</v>
      </c>
      <c r="AI104" s="612">
        <f t="shared" ref="AI104:AI109" si="111">(H104-AH104)*AU104-I104*AV104-AE104*AW104-AF104-AG104</f>
        <v>115.30000000000001</v>
      </c>
      <c r="AJ104" s="321">
        <f t="shared" si="80"/>
        <v>235</v>
      </c>
      <c r="AK104" s="610">
        <f t="shared" si="106"/>
        <v>46.400000000000006</v>
      </c>
      <c r="AL104" s="610">
        <f>54*AE104/100</f>
        <v>43.2</v>
      </c>
      <c r="AM104" s="610">
        <f>4*AE104/100</f>
        <v>3.2</v>
      </c>
      <c r="AN104" s="321"/>
      <c r="AO104" s="321"/>
      <c r="AP104" s="321"/>
      <c r="AQ104" s="612">
        <f t="shared" si="87"/>
        <v>217.72840909090917</v>
      </c>
      <c r="AR104" s="847">
        <f t="shared" si="102"/>
        <v>1221.8499999999999</v>
      </c>
      <c r="AS104" s="321">
        <f t="shared" ref="AS104:AS112" si="112">AX104*K104+AY104*AT104-AF104-AG104</f>
        <v>158.30000000000001</v>
      </c>
      <c r="AT104" s="321">
        <f t="shared" si="108"/>
        <v>290</v>
      </c>
      <c r="AU104" s="852">
        <v>0.83</v>
      </c>
      <c r="AV104" s="852">
        <v>0.87</v>
      </c>
      <c r="AW104" s="852">
        <v>0.81</v>
      </c>
      <c r="AX104" s="852">
        <v>0.81</v>
      </c>
      <c r="AY104" s="852">
        <v>0.93</v>
      </c>
      <c r="AZ104" s="606">
        <f>1.1*H104/1000</f>
        <v>1.0010000000000001</v>
      </c>
      <c r="BA104" s="1111">
        <f>91*H104/1000*K104/$K$108</f>
        <v>139.18465792105417</v>
      </c>
      <c r="BB104" s="1111">
        <f>152.4*H104/1000*K104/$K$108</f>
        <v>233.0960644743808</v>
      </c>
      <c r="BC104" s="303">
        <f t="shared" si="83"/>
        <v>1.7494977000000018</v>
      </c>
      <c r="BD104" s="277"/>
      <c r="BE104" s="277"/>
      <c r="BF104" s="277"/>
      <c r="BG104" s="277"/>
      <c r="BH104" s="277"/>
      <c r="BI104" s="277"/>
      <c r="BJ104" s="277"/>
      <c r="BK104" s="277"/>
      <c r="BL104" s="277"/>
      <c r="BM104" s="277"/>
      <c r="BN104" s="277"/>
      <c r="BO104" s="277"/>
      <c r="BP104" s="277"/>
      <c r="BQ104" s="277"/>
      <c r="BR104" s="277"/>
      <c r="BS104" s="277"/>
      <c r="BT104" s="277"/>
      <c r="BU104" s="277"/>
      <c r="BV104" s="277"/>
      <c r="BW104" s="277"/>
      <c r="BX104" s="277"/>
      <c r="BY104" s="277"/>
      <c r="BZ104" s="277"/>
      <c r="CA104" s="277"/>
      <c r="CB104" s="277"/>
      <c r="CC104" s="277"/>
      <c r="CD104" s="277"/>
      <c r="CE104" s="277"/>
      <c r="CF104" s="277"/>
      <c r="CG104" s="277"/>
      <c r="CH104" s="277"/>
      <c r="CI104" s="277"/>
      <c r="CJ104" s="277"/>
      <c r="CK104" s="277"/>
      <c r="CL104" s="277"/>
      <c r="CM104" s="277"/>
      <c r="CN104" s="277"/>
      <c r="CO104" s="277"/>
      <c r="CP104" s="277"/>
      <c r="CQ104" s="277"/>
      <c r="CR104" s="277"/>
      <c r="CS104" s="277"/>
      <c r="CT104" s="277"/>
      <c r="CU104" s="277"/>
      <c r="CV104" s="277"/>
      <c r="CW104" s="277"/>
      <c r="CX104" s="277"/>
      <c r="CY104" s="277"/>
      <c r="CZ104" s="277"/>
      <c r="DA104" s="277"/>
      <c r="DB104" s="277"/>
      <c r="DC104" s="277"/>
      <c r="DD104" s="277"/>
      <c r="DE104" s="277"/>
      <c r="DF104" s="277"/>
      <c r="DG104" s="277"/>
      <c r="DH104" s="277"/>
      <c r="DI104" s="277"/>
      <c r="DJ104" s="277"/>
      <c r="DK104" s="277"/>
      <c r="DL104" s="277"/>
      <c r="DM104" s="277"/>
      <c r="DN104" s="277"/>
      <c r="DO104" s="277"/>
      <c r="DP104" s="277"/>
      <c r="DQ104" s="277"/>
      <c r="DR104" s="277"/>
      <c r="DS104" s="277"/>
      <c r="DT104" s="277"/>
      <c r="DU104" s="277"/>
      <c r="DV104" s="277"/>
      <c r="DW104" s="277"/>
      <c r="DX104" s="277"/>
      <c r="DY104" s="277"/>
      <c r="DZ104" s="277"/>
      <c r="EA104" s="277"/>
      <c r="EB104" s="277"/>
      <c r="EC104" s="277"/>
      <c r="ED104" s="277"/>
      <c r="EE104" s="277"/>
      <c r="EF104" s="277"/>
      <c r="EG104" s="277"/>
      <c r="EH104" s="277"/>
      <c r="EI104" s="277"/>
      <c r="EJ104" s="277"/>
      <c r="EK104" s="277"/>
      <c r="EL104" s="277"/>
      <c r="EM104" s="277"/>
    </row>
    <row r="105" spans="1:143" s="4" customFormat="1" ht="12.5" customHeight="1">
      <c r="A105" s="897" t="str">
        <f>IF(E105=" ",D105&amp;" "&amp;F105,D105&amp;" "&amp;E105&amp;"% RP "&amp;F105)</f>
        <v>Sojakuchen 41% RP DLG 2014</v>
      </c>
      <c r="B105" s="298">
        <f>IF(D105=""," ",COUNTA($D$8:D105))</f>
        <v>96</v>
      </c>
      <c r="C105" s="327"/>
      <c r="D105" s="602" t="s">
        <v>978</v>
      </c>
      <c r="E105" s="617">
        <f>IF(I105=0," ",ROUND(I105/10,0))</f>
        <v>41</v>
      </c>
      <c r="F105" s="319" t="s">
        <v>969</v>
      </c>
      <c r="G105" s="320"/>
      <c r="H105" s="321">
        <v>890</v>
      </c>
      <c r="I105" s="321">
        <v>405</v>
      </c>
      <c r="J105" s="321">
        <f>IF(I105=0," ",I105*0.87)</f>
        <v>352.35</v>
      </c>
      <c r="K105" s="321">
        <v>53</v>
      </c>
      <c r="L105" s="303">
        <f>I105*0.0205*AV105+0.0398*AW105*AE105+0.0173*AF105+0.016*$AG105+0.0147*AI105</f>
        <v>14.19426</v>
      </c>
      <c r="M105" s="322">
        <f>IF(I105=""," ",$I105*0.021503+0.032497*$AE105+0.016309*$AF105+0.014701*$AJ105-0.021071*$K105)</f>
        <v>14.738303</v>
      </c>
      <c r="N105" s="311">
        <f>IF(I105=0," ",(I105/H105*880*0.0685-3.28)/880*H105)</f>
        <v>24.425227272727273</v>
      </c>
      <c r="O105" s="302">
        <f>IF(N105=" "," ",N105*0.86)</f>
        <v>21.005695454545453</v>
      </c>
      <c r="P105" s="311">
        <f>IF(N105=" "," ",(I105/H105*880*0.0252+1.38)/880*H105)</f>
        <v>11.601681818181818</v>
      </c>
      <c r="Q105" s="302">
        <f>IF(N105=" "," ",P105*(6.1*0.9+8.9*0.83)/15)</f>
        <v>9.9596571181818163</v>
      </c>
      <c r="R105" s="311">
        <f>IF(N105=" "," ",(I105/H105*880*0.034+2.11)/880*H105)</f>
        <v>15.903977272727273</v>
      </c>
      <c r="S105" s="302">
        <f>IF(N105=" "," ",R105*0.85)</f>
        <v>13.518380681818181</v>
      </c>
      <c r="T105" s="311">
        <f>IF(N105=" "," ",(I105/H105*880*0.0102+1.32)/880*H105)</f>
        <v>5.4660000000000011</v>
      </c>
      <c r="U105" s="302">
        <f>IF(N105=" "," ",T105*0.88)</f>
        <v>4.810080000000001</v>
      </c>
      <c r="V105" s="311">
        <v>2.7</v>
      </c>
      <c r="W105" s="311">
        <v>6.1</v>
      </c>
      <c r="X105" s="302">
        <f>W105*0.4</f>
        <v>2.44</v>
      </c>
      <c r="Y105" s="301">
        <f>IF($H105=0," ",W105*0.65)</f>
        <v>3.9649999999999999</v>
      </c>
      <c r="Z105" s="311">
        <v>2.6</v>
      </c>
      <c r="AA105" s="322">
        <v>0.2</v>
      </c>
      <c r="AB105" s="323">
        <v>14.7</v>
      </c>
      <c r="AC105" s="311">
        <f>IF($I105=""," ",($I105/H105*880*0.0121+0.68)/880*H105)</f>
        <v>5.5882272727272717</v>
      </c>
      <c r="AD105" s="311">
        <f>AC105*0.88</f>
        <v>4.9176399999999996</v>
      </c>
      <c r="AE105" s="321">
        <v>87</v>
      </c>
      <c r="AF105" s="321">
        <v>53</v>
      </c>
      <c r="AG105" s="321">
        <v>62</v>
      </c>
      <c r="AH105" s="321">
        <v>57</v>
      </c>
      <c r="AI105" s="612">
        <f t="shared" si="111"/>
        <v>153.56999999999994</v>
      </c>
      <c r="AJ105" s="321">
        <f t="shared" si="80"/>
        <v>235</v>
      </c>
      <c r="AK105" s="610">
        <f t="shared" ref="AK105:AK112" si="113">AL105+AM105</f>
        <v>50.459999999999994</v>
      </c>
      <c r="AL105" s="610">
        <f>54*AE105/100</f>
        <v>46.98</v>
      </c>
      <c r="AM105" s="610">
        <f t="shared" ref="AM105:AM112" si="114">4*AE105/100</f>
        <v>3.48</v>
      </c>
      <c r="AN105" s="321"/>
      <c r="AO105" s="321"/>
      <c r="AP105" s="321"/>
      <c r="AQ105" s="612">
        <f>IF(H105="","",50*V105+83*Z105+26*AB105+44*AA105-59*W105-13*P105-28*AZ105)</f>
        <v>203.66613636363633</v>
      </c>
      <c r="AR105" s="847">
        <f>IF(H105="","",V105/1000*20140+Z105/1000*48600+1100/440*I105)</f>
        <v>1193.2380000000001</v>
      </c>
      <c r="AS105" s="321">
        <f>AX105*K105+AY105*AT105-AF105-AG105</f>
        <v>195.77000000000004</v>
      </c>
      <c r="AT105" s="321">
        <f t="shared" si="108"/>
        <v>288</v>
      </c>
      <c r="AU105" s="852">
        <v>0.83</v>
      </c>
      <c r="AV105" s="852">
        <v>0.87</v>
      </c>
      <c r="AW105" s="852">
        <v>0.81</v>
      </c>
      <c r="AX105" s="852">
        <v>0.81</v>
      </c>
      <c r="AY105" s="852">
        <v>0.93</v>
      </c>
      <c r="AZ105" s="606">
        <f>1.1*H105/1000</f>
        <v>0.97900000000000009</v>
      </c>
      <c r="BA105" s="1111">
        <f>91*H105/1000*K105/$K$108</f>
        <v>120.24432809773121</v>
      </c>
      <c r="BB105" s="1111">
        <f>152.4*H105/1000*K105/$K$108</f>
        <v>201.37621540762899</v>
      </c>
      <c r="BC105" s="303">
        <f t="shared" si="83"/>
        <v>2.8259611899999992</v>
      </c>
      <c r="BD105" s="277"/>
      <c r="BE105" s="277"/>
      <c r="BF105" s="277"/>
      <c r="BG105" s="277"/>
      <c r="BH105" s="277"/>
      <c r="BI105" s="277"/>
      <c r="BJ105" s="277"/>
      <c r="BK105" s="277"/>
      <c r="BL105" s="277"/>
      <c r="BM105" s="277"/>
      <c r="BN105" s="277"/>
      <c r="BO105" s="277"/>
      <c r="BP105" s="277"/>
      <c r="BQ105" s="277"/>
      <c r="BR105" s="277"/>
      <c r="BS105" s="277"/>
      <c r="BT105" s="277"/>
      <c r="BU105" s="277"/>
      <c r="BV105" s="277"/>
      <c r="BW105" s="277"/>
      <c r="BX105" s="277"/>
      <c r="BY105" s="277"/>
      <c r="BZ105" s="277"/>
      <c r="CA105" s="277"/>
      <c r="CB105" s="277"/>
      <c r="CC105" s="277"/>
      <c r="CD105" s="277"/>
      <c r="CE105" s="277"/>
      <c r="CF105" s="277"/>
      <c r="CG105" s="277"/>
      <c r="CH105" s="277"/>
      <c r="CI105" s="277"/>
      <c r="CJ105" s="277"/>
      <c r="CK105" s="277"/>
      <c r="CL105" s="277"/>
      <c r="CM105" s="277"/>
      <c r="CN105" s="277"/>
      <c r="CO105" s="277"/>
      <c r="CP105" s="277"/>
      <c r="CQ105" s="277"/>
      <c r="CR105" s="277"/>
      <c r="CS105" s="277"/>
      <c r="CT105" s="277"/>
      <c r="CU105" s="277"/>
      <c r="CV105" s="277"/>
      <c r="CW105" s="277"/>
      <c r="CX105" s="277"/>
      <c r="CY105" s="277"/>
      <c r="CZ105" s="277"/>
      <c r="DA105" s="277"/>
      <c r="DB105" s="277"/>
      <c r="DC105" s="277"/>
      <c r="DD105" s="277"/>
      <c r="DE105" s="277"/>
      <c r="DF105" s="277"/>
      <c r="DG105" s="277"/>
      <c r="DH105" s="277"/>
      <c r="DI105" s="277"/>
      <c r="DJ105" s="277"/>
      <c r="DK105" s="277"/>
      <c r="DL105" s="277"/>
      <c r="DM105" s="277"/>
      <c r="DN105" s="277"/>
      <c r="DO105" s="277"/>
      <c r="DP105" s="277"/>
      <c r="DQ105" s="277"/>
      <c r="DR105" s="277"/>
      <c r="DS105" s="277"/>
      <c r="DT105" s="277"/>
      <c r="DU105" s="277"/>
      <c r="DV105" s="277"/>
      <c r="DW105" s="277"/>
      <c r="DX105" s="277"/>
      <c r="DY105" s="277"/>
      <c r="DZ105" s="277"/>
      <c r="EA105" s="277"/>
      <c r="EB105" s="277"/>
      <c r="EC105" s="277"/>
      <c r="ED105" s="277"/>
      <c r="EE105" s="277"/>
      <c r="EF105" s="277"/>
      <c r="EG105" s="277"/>
      <c r="EH105" s="277"/>
      <c r="EI105" s="277"/>
      <c r="EJ105" s="277"/>
      <c r="EK105" s="277"/>
      <c r="EL105" s="277"/>
      <c r="EM105" s="277"/>
    </row>
    <row r="106" spans="1:143" s="4" customFormat="1" ht="12.5" customHeight="1">
      <c r="A106" s="897" t="str">
        <f t="shared" si="93"/>
        <v xml:space="preserve">Sojaschrot HP 49% RP </v>
      </c>
      <c r="B106" s="298">
        <f>IF(D106=""," ",COUNTA($D$8:D106))</f>
        <v>97</v>
      </c>
      <c r="C106" s="327"/>
      <c r="D106" s="482" t="s">
        <v>67</v>
      </c>
      <c r="E106" s="620">
        <f t="shared" si="107"/>
        <v>49</v>
      </c>
      <c r="F106" s="319"/>
      <c r="G106" s="320" t="s">
        <v>627</v>
      </c>
      <c r="H106" s="321">
        <v>890</v>
      </c>
      <c r="I106" s="321">
        <v>485</v>
      </c>
      <c r="J106" s="321">
        <f t="shared" ref="J106:J112" si="115">I106*0.82</f>
        <v>397.7</v>
      </c>
      <c r="K106" s="321">
        <v>44</v>
      </c>
      <c r="L106" s="303">
        <f t="shared" si="109"/>
        <v>13.961272000000001</v>
      </c>
      <c r="M106" s="322">
        <f t="shared" ref="M106:M125" si="116">IF(I106=""," ",$I106*0.021503+0.032497*$AE106+0.016309*$AF106+0.014701*$AJ106-0.021071*$K106)</f>
        <v>14.324876</v>
      </c>
      <c r="N106" s="311">
        <f t="shared" ref="N106:N121" si="117">IF(I106=0," ",(I106/H106*880*0.0523+4.14)/880*H106)</f>
        <v>29.552545454545456</v>
      </c>
      <c r="O106" s="302">
        <f t="shared" ref="O106:O116" si="118">IF(N106=" "," ",N106*0.87)</f>
        <v>25.710714545454547</v>
      </c>
      <c r="P106" s="311">
        <f t="shared" ref="P106:P121" si="119">IF(N106=" "," ",(I106/H106*880*0.0274+0.33)/880*H106)</f>
        <v>13.622750000000002</v>
      </c>
      <c r="Q106" s="302">
        <f t="shared" ref="Q106:Q111" si="120">IF(N106=" "," ",P106*(6.2*0.88+6.8*0.79)/13)</f>
        <v>11.346702846153846</v>
      </c>
      <c r="R106" s="311">
        <f t="shared" ref="R106:R121" si="121">IF(N106=" "," ",(I106/H106*880*0.0339+2.43)/880*H106)</f>
        <v>18.899113636363637</v>
      </c>
      <c r="S106" s="302">
        <f t="shared" ref="S106:S111" si="122">IF(N106=" "," ",R106*0.86)</f>
        <v>16.253237727272726</v>
      </c>
      <c r="T106" s="311">
        <f t="shared" ref="T106:T121" si="123">IF(N106=" "," ",(I106/H106*880*0.0109+1.23)/880*H106)</f>
        <v>6.5304772727272722</v>
      </c>
      <c r="U106" s="302">
        <f t="shared" ref="U106:U121" si="124">IF(N106=" "," ",T106*0.86)</f>
        <v>5.6162104545454543</v>
      </c>
      <c r="V106" s="311">
        <f>IF($I106=0," ",IF(I106&gt;459.99,$V$108*$I$108/$I106,$V$112*$I$112/$I106))</f>
        <v>3.0856133010309286</v>
      </c>
      <c r="W106" s="311">
        <f>IF($I106=0," ",IF(I106&gt;459.99,$W$108*$I106/$I$108,$W$112*$I106/$I$112))</f>
        <v>6.9168545659526481</v>
      </c>
      <c r="X106" s="302">
        <f t="shared" ref="X106:X112" si="125">W106*0.4</f>
        <v>2.7667418263810593</v>
      </c>
      <c r="Y106" s="302">
        <f t="shared" si="105"/>
        <v>4.4959554678692211</v>
      </c>
      <c r="Z106" s="311">
        <f>IF($I106=0," ",IF(I106&gt;459.99,$Z$108*$I$108/$I106,$Z$112*$I$112/$I106))</f>
        <v>2.7345204123711344</v>
      </c>
      <c r="AA106" s="322">
        <f>IF($I106=0," ",IF(I106&gt;459.99,$AA$108*$I$108/$I106,$AA$112*$I$112/$I106))</f>
        <v>0.16514550061855673</v>
      </c>
      <c r="AB106" s="323">
        <f>IF($I106=0," ",IF(I106&gt;459.99,$AB$108*$I106/$I$108,$AB$112*$I106/$I$112))</f>
        <v>21.142427658774896</v>
      </c>
      <c r="AC106" s="311">
        <f t="shared" ref="AC106:AC121" si="126">IF($I106=""," ",($I106/H106*880*0.013+0.19)/880*H106)</f>
        <v>6.4971590909090917</v>
      </c>
      <c r="AD106" s="311">
        <f t="shared" si="110"/>
        <v>5.7175000000000011</v>
      </c>
      <c r="AE106" s="321">
        <v>25</v>
      </c>
      <c r="AF106" s="321">
        <v>44</v>
      </c>
      <c r="AG106" s="321">
        <v>88</v>
      </c>
      <c r="AH106" s="321">
        <v>68</v>
      </c>
      <c r="AI106" s="612">
        <f t="shared" si="111"/>
        <v>227.26000000000005</v>
      </c>
      <c r="AJ106" s="321">
        <f t="shared" ref="AJ106:AJ123" si="127">IF($I106=""," ",$H106-($AE106+$AF106+$AH106+$I106+$K106))</f>
        <v>224</v>
      </c>
      <c r="AK106" s="311">
        <f t="shared" si="113"/>
        <v>13.5</v>
      </c>
      <c r="AL106" s="311">
        <f t="shared" ref="AL106:AL112" si="128">50*AE106/100</f>
        <v>12.5</v>
      </c>
      <c r="AM106" s="311">
        <f t="shared" si="114"/>
        <v>1</v>
      </c>
      <c r="AN106" s="321"/>
      <c r="AO106" s="321"/>
      <c r="AP106" s="321"/>
      <c r="AQ106" s="612">
        <f t="shared" si="87"/>
        <v>338.82081104250801</v>
      </c>
      <c r="AR106" s="847">
        <f t="shared" si="102"/>
        <v>1407.541943924</v>
      </c>
      <c r="AS106" s="321">
        <f t="shared" si="112"/>
        <v>154.79999999999995</v>
      </c>
      <c r="AT106" s="321">
        <f t="shared" si="108"/>
        <v>268</v>
      </c>
      <c r="AU106" s="852">
        <v>0.93</v>
      </c>
      <c r="AV106" s="852">
        <v>0.82</v>
      </c>
      <c r="AW106" s="852">
        <v>0.3</v>
      </c>
      <c r="AX106" s="852">
        <v>0.61</v>
      </c>
      <c r="AY106" s="852">
        <v>0.97</v>
      </c>
      <c r="AZ106" s="606">
        <f t="shared" ref="AZ106:AZ112" si="129">0.57*H106/1000</f>
        <v>0.50729999999999997</v>
      </c>
      <c r="BA106" s="1111">
        <f>$BA$107/$H$107*H106*K106/$K$107</f>
        <v>78.828571428571422</v>
      </c>
      <c r="BB106" s="1111">
        <f>$BB$107/$H$107*H106*K106/$K$107</f>
        <v>109.34285714285716</v>
      </c>
      <c r="BC106" s="303">
        <f t="shared" si="83"/>
        <v>-2.8918405200000006</v>
      </c>
      <c r="BD106" s="277"/>
      <c r="BE106" s="277"/>
      <c r="BF106" s="277"/>
      <c r="BG106" s="277"/>
      <c r="BH106" s="277"/>
      <c r="BI106" s="277"/>
      <c r="BJ106" s="277"/>
      <c r="BK106" s="277"/>
      <c r="BL106" s="277"/>
      <c r="BM106" s="277"/>
      <c r="BN106" s="277"/>
      <c r="BO106" s="277"/>
      <c r="BP106" s="277"/>
      <c r="BQ106" s="277"/>
      <c r="BR106" s="277"/>
      <c r="BS106" s="277"/>
      <c r="BT106" s="277"/>
      <c r="BU106" s="277"/>
      <c r="BV106" s="277"/>
      <c r="BW106" s="277"/>
      <c r="BX106" s="277"/>
      <c r="BY106" s="277"/>
      <c r="BZ106" s="277"/>
      <c r="CA106" s="277"/>
      <c r="CB106" s="277"/>
      <c r="CC106" s="277"/>
      <c r="CD106" s="277"/>
      <c r="CE106" s="277"/>
      <c r="CF106" s="277"/>
      <c r="CG106" s="277"/>
      <c r="CH106" s="277"/>
      <c r="CI106" s="277"/>
      <c r="CJ106" s="277"/>
      <c r="CK106" s="277"/>
      <c r="CL106" s="277"/>
      <c r="CM106" s="277"/>
      <c r="CN106" s="277"/>
      <c r="CO106" s="277"/>
      <c r="CP106" s="277"/>
      <c r="CQ106" s="277"/>
      <c r="CR106" s="277"/>
      <c r="CS106" s="277"/>
      <c r="CT106" s="277"/>
      <c r="CU106" s="277"/>
      <c r="CV106" s="277"/>
      <c r="CW106" s="277"/>
      <c r="CX106" s="277"/>
      <c r="CY106" s="277"/>
      <c r="CZ106" s="277"/>
      <c r="DA106" s="277"/>
      <c r="DB106" s="277"/>
      <c r="DC106" s="277"/>
      <c r="DD106" s="277"/>
      <c r="DE106" s="277"/>
      <c r="DF106" s="277"/>
      <c r="DG106" s="277"/>
      <c r="DH106" s="277"/>
      <c r="DI106" s="277"/>
      <c r="DJ106" s="277"/>
      <c r="DK106" s="277"/>
      <c r="DL106" s="277"/>
      <c r="DM106" s="277"/>
      <c r="DN106" s="277"/>
      <c r="DO106" s="277"/>
      <c r="DP106" s="277"/>
      <c r="DQ106" s="277"/>
      <c r="DR106" s="277"/>
      <c r="DS106" s="277"/>
      <c r="DT106" s="277"/>
      <c r="DU106" s="277"/>
      <c r="DV106" s="277"/>
      <c r="DW106" s="277"/>
      <c r="DX106" s="277"/>
      <c r="DY106" s="277"/>
      <c r="DZ106" s="277"/>
      <c r="EA106" s="277"/>
      <c r="EB106" s="277"/>
      <c r="EC106" s="277"/>
      <c r="ED106" s="277"/>
      <c r="EE106" s="277"/>
      <c r="EF106" s="277"/>
      <c r="EG106" s="277"/>
      <c r="EH106" s="277"/>
      <c r="EI106" s="277"/>
      <c r="EJ106" s="277"/>
      <c r="EK106" s="277"/>
      <c r="EL106" s="277"/>
      <c r="EM106" s="277"/>
    </row>
    <row r="107" spans="1:143" s="4" customFormat="1" ht="12.5" customHeight="1">
      <c r="A107" s="897" t="str">
        <f>IF(E107=" ",D107&amp;" "&amp;F107,D107&amp;" "&amp;E107&amp;"% RP "&amp;F107)</f>
        <v>Sojaschrot HP 48% RP DLG 2014</v>
      </c>
      <c r="B107" s="298">
        <f>IF(D107=""," ",COUNTA($D$8:D107))</f>
        <v>98</v>
      </c>
      <c r="C107" s="327"/>
      <c r="D107" s="602" t="s">
        <v>67</v>
      </c>
      <c r="E107" s="617">
        <f>IF(I107=0," ",ROUND(I107/10,0))</f>
        <v>48</v>
      </c>
      <c r="F107" s="319" t="s">
        <v>969</v>
      </c>
      <c r="G107" s="320" t="s">
        <v>54</v>
      </c>
      <c r="H107" s="321">
        <v>880</v>
      </c>
      <c r="I107" s="321">
        <v>480</v>
      </c>
      <c r="J107" s="321">
        <f t="shared" si="115"/>
        <v>393.59999999999997</v>
      </c>
      <c r="K107" s="321">
        <v>35</v>
      </c>
      <c r="L107" s="303">
        <f>I107*0.0205*AV107+0.0398*AW107*AE107+0.0173*AF107+0.016*$AG107+0.0147*AI107</f>
        <v>13.888607839999999</v>
      </c>
      <c r="M107" s="322">
        <f>IF(I107=""," ",$I107*0.021503+0.032497*$AE107+0.016309*$AF107+0.014701*$AJ107-0.021071*$K107)</f>
        <v>14.40926904</v>
      </c>
      <c r="N107" s="311">
        <f>IF(I107=0," ",(I107/H107*880*0.0523+4.14)/880*H107)</f>
        <v>29.243999999999993</v>
      </c>
      <c r="O107" s="302">
        <f>IF(N107=" "," ",N107*0.87)</f>
        <v>25.442279999999993</v>
      </c>
      <c r="P107" s="311">
        <f>IF(N107=" "," ",(I107/H107*880*0.0274+0.33)/880*H107)</f>
        <v>13.481999999999999</v>
      </c>
      <c r="Q107" s="302">
        <f t="shared" si="120"/>
        <v>11.229468923076922</v>
      </c>
      <c r="R107" s="311">
        <f>IF(N107=" "," ",(I107/H107*880*0.0339+2.43)/880*H107)</f>
        <v>18.701999999999998</v>
      </c>
      <c r="S107" s="302">
        <f t="shared" si="122"/>
        <v>16.08372</v>
      </c>
      <c r="T107" s="311">
        <f>IF(N107=" "," ",(I107/H107*880*0.0109+1.23)/880*H107)</f>
        <v>6.4619999999999997</v>
      </c>
      <c r="U107" s="302">
        <f>T107*0.86</f>
        <v>5.5573199999999998</v>
      </c>
      <c r="V107" s="311">
        <v>2.8</v>
      </c>
      <c r="W107" s="311">
        <v>6.6</v>
      </c>
      <c r="X107" s="302">
        <f t="shared" si="125"/>
        <v>2.64</v>
      </c>
      <c r="Y107" s="301">
        <f>W107*0.65</f>
        <v>4.29</v>
      </c>
      <c r="Z107" s="311">
        <v>2.8</v>
      </c>
      <c r="AA107" s="322">
        <v>0.16</v>
      </c>
      <c r="AB107" s="323">
        <v>21.6</v>
      </c>
      <c r="AC107" s="311">
        <f>IF($I107=""," ",($I107/H107*880*0.013+0.19)/880*H107)</f>
        <v>6.43</v>
      </c>
      <c r="AD107" s="311">
        <f>AC107*0.88</f>
        <v>5.6583999999999994</v>
      </c>
      <c r="AE107" s="321">
        <v>13</v>
      </c>
      <c r="AF107" s="321">
        <v>59</v>
      </c>
      <c r="AG107" s="321">
        <v>100</v>
      </c>
      <c r="AH107" s="321">
        <f>67*H107/1000</f>
        <v>58.96</v>
      </c>
      <c r="AI107" s="612">
        <f t="shared" si="111"/>
        <v>207.06720000000001</v>
      </c>
      <c r="AJ107" s="321">
        <f>IF($I107=""," ",$H107-($AE107+$AF107+$AH107+$I107+$K107))</f>
        <v>234.03999999999996</v>
      </c>
      <c r="AK107" s="311">
        <f t="shared" si="113"/>
        <v>7.02</v>
      </c>
      <c r="AL107" s="311">
        <f t="shared" si="128"/>
        <v>6.5</v>
      </c>
      <c r="AM107" s="311">
        <f t="shared" si="114"/>
        <v>0.52</v>
      </c>
      <c r="AN107" s="321"/>
      <c r="AO107" s="321"/>
      <c r="AP107" s="321"/>
      <c r="AQ107" s="612">
        <f>IF(H107="","",50*V107+83*Z107+26*AB107+44*AA107-59*W107-13*P107-28*AZ107)</f>
        <v>362.32920000000001</v>
      </c>
      <c r="AR107" s="847">
        <f>IF(H107="","",V107/1000*20140+Z107/1000*48600+1100/440*I107)</f>
        <v>1392.472</v>
      </c>
      <c r="AS107" s="321">
        <f>AX107*K107+AY107*AT107-AF107-AG107</f>
        <v>146.59880000000004</v>
      </c>
      <c r="AT107" s="321">
        <f t="shared" si="108"/>
        <v>293.04000000000002</v>
      </c>
      <c r="AU107" s="852">
        <v>0.93</v>
      </c>
      <c r="AV107" s="852">
        <v>0.82</v>
      </c>
      <c r="AW107" s="852">
        <v>0.3</v>
      </c>
      <c r="AX107" s="852">
        <v>0.61</v>
      </c>
      <c r="AY107" s="852">
        <v>0.97</v>
      </c>
      <c r="AZ107" s="606">
        <f>0.57*H107/1000</f>
        <v>0.50159999999999993</v>
      </c>
      <c r="BA107" s="1111">
        <v>62</v>
      </c>
      <c r="BB107" s="1111">
        <v>86</v>
      </c>
      <c r="BC107" s="303">
        <f t="shared" si="83"/>
        <v>-2.7562336007999995</v>
      </c>
      <c r="BD107" s="277"/>
      <c r="BE107" s="277"/>
      <c r="BF107" s="277"/>
      <c r="BG107" s="277"/>
      <c r="BH107" s="277"/>
      <c r="BI107" s="277"/>
      <c r="BJ107" s="277"/>
      <c r="BK107" s="277"/>
      <c r="BL107" s="277"/>
      <c r="BM107" s="277"/>
      <c r="BN107" s="277"/>
      <c r="BO107" s="277"/>
      <c r="BP107" s="277"/>
      <c r="BQ107" s="277"/>
      <c r="BR107" s="277"/>
      <c r="BS107" s="277"/>
      <c r="BT107" s="277"/>
      <c r="BU107" s="277"/>
      <c r="BV107" s="277"/>
      <c r="BW107" s="277"/>
      <c r="BX107" s="277"/>
      <c r="BY107" s="277"/>
      <c r="BZ107" s="277"/>
      <c r="CA107" s="277"/>
      <c r="CB107" s="277"/>
      <c r="CC107" s="277"/>
      <c r="CD107" s="277"/>
      <c r="CE107" s="277"/>
      <c r="CF107" s="277"/>
      <c r="CG107" s="277"/>
      <c r="CH107" s="277"/>
      <c r="CI107" s="277"/>
      <c r="CJ107" s="277"/>
      <c r="CK107" s="277"/>
      <c r="CL107" s="277"/>
      <c r="CM107" s="277"/>
      <c r="CN107" s="277"/>
      <c r="CO107" s="277"/>
      <c r="CP107" s="277"/>
      <c r="CQ107" s="277"/>
      <c r="CR107" s="277"/>
      <c r="CS107" s="277"/>
      <c r="CT107" s="277"/>
      <c r="CU107" s="277"/>
      <c r="CV107" s="277"/>
      <c r="CW107" s="277"/>
      <c r="CX107" s="277"/>
      <c r="CY107" s="277"/>
      <c r="CZ107" s="277"/>
      <c r="DA107" s="277"/>
      <c r="DB107" s="277"/>
      <c r="DC107" s="277"/>
      <c r="DD107" s="277"/>
      <c r="DE107" s="277"/>
      <c r="DF107" s="277"/>
      <c r="DG107" s="277"/>
      <c r="DH107" s="277"/>
      <c r="DI107" s="277"/>
      <c r="DJ107" s="277"/>
      <c r="DK107" s="277"/>
      <c r="DL107" s="277"/>
      <c r="DM107" s="277"/>
      <c r="DN107" s="277"/>
      <c r="DO107" s="277"/>
      <c r="DP107" s="277"/>
      <c r="DQ107" s="277"/>
      <c r="DR107" s="277"/>
      <c r="DS107" s="277"/>
      <c r="DT107" s="277"/>
      <c r="DU107" s="277"/>
      <c r="DV107" s="277"/>
      <c r="DW107" s="277"/>
      <c r="DX107" s="277"/>
      <c r="DY107" s="277"/>
      <c r="DZ107" s="277"/>
      <c r="EA107" s="277"/>
      <c r="EB107" s="277"/>
      <c r="EC107" s="277"/>
      <c r="ED107" s="277"/>
      <c r="EE107" s="277"/>
      <c r="EF107" s="277"/>
      <c r="EG107" s="277"/>
      <c r="EH107" s="277"/>
      <c r="EI107" s="277"/>
      <c r="EJ107" s="277"/>
      <c r="EK107" s="277"/>
      <c r="EL107" s="277"/>
      <c r="EM107" s="277"/>
    </row>
    <row r="108" spans="1:143" s="4" customFormat="1" ht="12.5" customHeight="1">
      <c r="A108" s="897" t="str">
        <f t="shared" si="93"/>
        <v>Sojaschrot HP 47% RP DLG FuDb</v>
      </c>
      <c r="B108" s="298">
        <f>IF(D108=""," ",COUNTA($D$8:D108))</f>
        <v>99</v>
      </c>
      <c r="C108" s="327"/>
      <c r="D108" s="897" t="s">
        <v>67</v>
      </c>
      <c r="E108" s="1108">
        <f t="shared" si="107"/>
        <v>47</v>
      </c>
      <c r="F108" s="1109" t="s">
        <v>977</v>
      </c>
      <c r="G108" s="1110"/>
      <c r="H108" s="1111">
        <v>890</v>
      </c>
      <c r="I108" s="1111">
        <f>532.2*H108/1000</f>
        <v>473.65800000000007</v>
      </c>
      <c r="J108" s="1111">
        <f t="shared" si="115"/>
        <v>388.39956000000001</v>
      </c>
      <c r="K108" s="1111">
        <f>40.11*H108/1000</f>
        <v>35.697900000000004</v>
      </c>
      <c r="L108" s="303">
        <f t="shared" si="109"/>
        <v>13.980995938</v>
      </c>
      <c r="M108" s="989">
        <f t="shared" si="116"/>
        <v>14.5026216272</v>
      </c>
      <c r="N108" s="1112">
        <f t="shared" si="117"/>
        <v>28.95935885454546</v>
      </c>
      <c r="O108" s="1113">
        <f t="shared" si="118"/>
        <v>25.194642203454549</v>
      </c>
      <c r="P108" s="1112">
        <f t="shared" si="119"/>
        <v>13.311979200000003</v>
      </c>
      <c r="Q108" s="302">
        <f t="shared" si="120"/>
        <v>11.087854675200003</v>
      </c>
      <c r="R108" s="1112">
        <f t="shared" si="121"/>
        <v>18.514619836363643</v>
      </c>
      <c r="S108" s="302">
        <f t="shared" si="122"/>
        <v>15.922573059272732</v>
      </c>
      <c r="T108" s="1112">
        <f t="shared" si="123"/>
        <v>6.4068494727272745</v>
      </c>
      <c r="U108" s="1113">
        <f t="shared" si="124"/>
        <v>5.5098905465454555</v>
      </c>
      <c r="V108" s="1112">
        <f>3.55*H108/1000</f>
        <v>3.1595</v>
      </c>
      <c r="W108" s="1112">
        <f>7.59*H108/1000</f>
        <v>6.7550999999999997</v>
      </c>
      <c r="X108" s="1113">
        <f t="shared" si="125"/>
        <v>2.7020400000000002</v>
      </c>
      <c r="Y108" s="1113">
        <f t="shared" si="105"/>
        <v>4.3908149999999999</v>
      </c>
      <c r="Z108" s="1112">
        <v>2.8</v>
      </c>
      <c r="AA108" s="989">
        <f>0.19*$H$108/1000</f>
        <v>0.1691</v>
      </c>
      <c r="AB108" s="1114">
        <f>23.2*$H$108/1000</f>
        <v>20.648</v>
      </c>
      <c r="AC108" s="1112">
        <f t="shared" si="126"/>
        <v>6.3497130909090931</v>
      </c>
      <c r="AD108" s="1112">
        <f t="shared" si="110"/>
        <v>5.5877475200000015</v>
      </c>
      <c r="AE108" s="1111">
        <f>18*0.89</f>
        <v>16.02</v>
      </c>
      <c r="AF108" s="1111">
        <f>64*0.89</f>
        <v>56.96</v>
      </c>
      <c r="AG108" s="1111">
        <f>114*0.89</f>
        <v>101.46000000000001</v>
      </c>
      <c r="AH108" s="1111">
        <f>69*0.89</f>
        <v>61.410000000000004</v>
      </c>
      <c r="AI108" s="612">
        <f t="shared" si="111"/>
        <v>218.96314000000004</v>
      </c>
      <c r="AJ108" s="1111">
        <f t="shared" si="127"/>
        <v>246.25409999999988</v>
      </c>
      <c r="AK108" s="1112">
        <f t="shared" si="113"/>
        <v>8.6508000000000003</v>
      </c>
      <c r="AL108" s="1112">
        <f t="shared" si="128"/>
        <v>8.01</v>
      </c>
      <c r="AM108" s="1112">
        <f t="shared" si="114"/>
        <v>0.64080000000000004</v>
      </c>
      <c r="AN108" s="1111"/>
      <c r="AO108" s="1111"/>
      <c r="AP108" s="1111"/>
      <c r="AQ108" s="612">
        <f t="shared" si="87"/>
        <v>348.85237039999987</v>
      </c>
      <c r="AR108" s="847">
        <f t="shared" si="102"/>
        <v>1383.8573300000003</v>
      </c>
      <c r="AS108" s="1111">
        <f t="shared" si="112"/>
        <v>157.47339599999989</v>
      </c>
      <c r="AT108" s="321">
        <f t="shared" si="108"/>
        <v>303.21409999999992</v>
      </c>
      <c r="AU108" s="852">
        <v>0.93</v>
      </c>
      <c r="AV108" s="852">
        <v>0.82</v>
      </c>
      <c r="AW108" s="852">
        <v>0.3</v>
      </c>
      <c r="AX108" s="1115">
        <v>0.61</v>
      </c>
      <c r="AY108" s="1115">
        <v>0.97</v>
      </c>
      <c r="AZ108" s="606">
        <f t="shared" si="129"/>
        <v>0.50729999999999997</v>
      </c>
      <c r="BA108" s="1111">
        <f>$BA$107/$H$107*H108*K108/$K$107</f>
        <v>63.954874090909094</v>
      </c>
      <c r="BB108" s="1111">
        <f>$BB$107/$H$107*H108*K108/$K$107</f>
        <v>88.711599545454575</v>
      </c>
      <c r="BC108" s="303">
        <f t="shared" si="83"/>
        <v>-2.4036241121440032</v>
      </c>
      <c r="BD108" s="277"/>
      <c r="BE108" s="277"/>
      <c r="BF108" s="277"/>
      <c r="BG108" s="277"/>
      <c r="BH108" s="277"/>
      <c r="BI108" s="277"/>
      <c r="BJ108" s="277"/>
      <c r="BK108" s="277"/>
      <c r="BL108" s="277"/>
      <c r="BM108" s="277"/>
      <c r="BN108" s="277"/>
      <c r="BO108" s="277"/>
      <c r="BP108" s="277"/>
      <c r="BQ108" s="277"/>
      <c r="BR108" s="277"/>
      <c r="BS108" s="277"/>
      <c r="BT108" s="277"/>
      <c r="BU108" s="277"/>
      <c r="BV108" s="277"/>
      <c r="BW108" s="277"/>
      <c r="BX108" s="277"/>
      <c r="BY108" s="277"/>
      <c r="BZ108" s="277"/>
      <c r="CA108" s="277"/>
      <c r="CB108" s="277"/>
      <c r="CC108" s="277"/>
      <c r="CD108" s="277"/>
      <c r="CE108" s="277"/>
      <c r="CF108" s="277"/>
      <c r="CG108" s="277"/>
      <c r="CH108" s="277"/>
      <c r="CI108" s="277"/>
      <c r="CJ108" s="277"/>
      <c r="CK108" s="277"/>
      <c r="CL108" s="277"/>
      <c r="CM108" s="277"/>
      <c r="CN108" s="277"/>
      <c r="CO108" s="277"/>
      <c r="CP108" s="277"/>
      <c r="CQ108" s="277"/>
      <c r="CR108" s="277"/>
      <c r="CS108" s="277"/>
      <c r="CT108" s="277"/>
      <c r="CU108" s="277"/>
      <c r="CV108" s="277"/>
      <c r="CW108" s="277"/>
      <c r="CX108" s="277"/>
      <c r="CY108" s="277"/>
      <c r="CZ108" s="277"/>
      <c r="DA108" s="277"/>
      <c r="DB108" s="277"/>
      <c r="DC108" s="277"/>
      <c r="DD108" s="277"/>
      <c r="DE108" s="277"/>
      <c r="DF108" s="277"/>
      <c r="DG108" s="277"/>
      <c r="DH108" s="277"/>
      <c r="DI108" s="277"/>
      <c r="DJ108" s="277"/>
      <c r="DK108" s="277"/>
      <c r="DL108" s="277"/>
      <c r="DM108" s="277"/>
      <c r="DN108" s="277"/>
      <c r="DO108" s="277"/>
      <c r="DP108" s="277"/>
      <c r="DQ108" s="277"/>
      <c r="DR108" s="277"/>
      <c r="DS108" s="277"/>
      <c r="DT108" s="277"/>
      <c r="DU108" s="277"/>
      <c r="DV108" s="277"/>
      <c r="DW108" s="277"/>
      <c r="DX108" s="277"/>
      <c r="DY108" s="277"/>
      <c r="DZ108" s="277"/>
      <c r="EA108" s="277"/>
      <c r="EB108" s="277"/>
      <c r="EC108" s="277"/>
      <c r="ED108" s="277"/>
      <c r="EE108" s="277"/>
      <c r="EF108" s="277"/>
      <c r="EG108" s="277"/>
      <c r="EH108" s="277"/>
      <c r="EI108" s="277"/>
      <c r="EJ108" s="277"/>
      <c r="EK108" s="277"/>
      <c r="EL108" s="277"/>
      <c r="EM108" s="277"/>
    </row>
    <row r="109" spans="1:143" s="3" customFormat="1" ht="12.5" customHeight="1">
      <c r="A109" s="897" t="str">
        <f t="shared" si="93"/>
        <v xml:space="preserve">Sojaschrot HP 47% RP </v>
      </c>
      <c r="B109" s="298">
        <f>IF(D109=""," ",COUNTA($D$8:D109))</f>
        <v>100</v>
      </c>
      <c r="C109" s="327"/>
      <c r="D109" s="897" t="s">
        <v>67</v>
      </c>
      <c r="E109" s="1108">
        <f t="shared" si="107"/>
        <v>47</v>
      </c>
      <c r="F109" s="1109"/>
      <c r="G109" s="1110" t="s">
        <v>555</v>
      </c>
      <c r="H109" s="1111">
        <v>890</v>
      </c>
      <c r="I109" s="1111">
        <v>470</v>
      </c>
      <c r="J109" s="1111">
        <f t="shared" si="115"/>
        <v>385.4</v>
      </c>
      <c r="K109" s="1111">
        <v>52</v>
      </c>
      <c r="L109" s="303">
        <f t="shared" si="109"/>
        <v>13.857122999999998</v>
      </c>
      <c r="M109" s="989">
        <f t="shared" si="116"/>
        <v>13.841379</v>
      </c>
      <c r="N109" s="1112">
        <f t="shared" si="117"/>
        <v>28.768045454545451</v>
      </c>
      <c r="O109" s="1113">
        <f t="shared" si="118"/>
        <v>25.028199545454541</v>
      </c>
      <c r="P109" s="1112">
        <f t="shared" si="119"/>
        <v>13.211749999999999</v>
      </c>
      <c r="Q109" s="302">
        <f t="shared" si="120"/>
        <v>11.004371461538458</v>
      </c>
      <c r="R109" s="1112">
        <f t="shared" si="121"/>
        <v>18.390613636363636</v>
      </c>
      <c r="S109" s="302">
        <f t="shared" si="122"/>
        <v>15.815927727272726</v>
      </c>
      <c r="T109" s="1112">
        <f t="shared" si="123"/>
        <v>6.3669772727272713</v>
      </c>
      <c r="U109" s="1113">
        <f t="shared" si="124"/>
        <v>5.4756004545454529</v>
      </c>
      <c r="V109" s="1112">
        <f>IF($I109=0," ",IF(I109&gt;459.99,$V$108*$I$108/$I109,$V$112*$I$112/$I109))</f>
        <v>3.1840903212765963</v>
      </c>
      <c r="W109" s="1112">
        <f>IF($I109=0," ",IF(I109&gt;459.99,$W$108*$I109/$I$108,$W$112*$I109/$I$112))</f>
        <v>6.7029312288613294</v>
      </c>
      <c r="X109" s="1113">
        <f t="shared" si="125"/>
        <v>2.6811724915445319</v>
      </c>
      <c r="Y109" s="1113">
        <f>IF($I109=0," ",W109*0.65)</f>
        <v>4.3569052987598642</v>
      </c>
      <c r="Z109" s="1112">
        <f>IF($I109=0," ",IF(I109&gt;459.99,$Z$108*$I$108/$I109,$Z$112*$I$112/$I109))</f>
        <v>2.8217923404255321</v>
      </c>
      <c r="AA109" s="989">
        <f>0.19*$H$108/1000</f>
        <v>0.1691</v>
      </c>
      <c r="AB109" s="1114">
        <f>23.2*$H$108/1000</f>
        <v>20.648</v>
      </c>
      <c r="AC109" s="1112">
        <f t="shared" si="126"/>
        <v>6.3021590909090905</v>
      </c>
      <c r="AD109" s="1112">
        <f t="shared" si="110"/>
        <v>5.5458999999999996</v>
      </c>
      <c r="AE109" s="1111">
        <v>19</v>
      </c>
      <c r="AF109" s="1111">
        <v>42</v>
      </c>
      <c r="AG109" s="1111">
        <v>91</v>
      </c>
      <c r="AH109" s="1111">
        <v>67</v>
      </c>
      <c r="AI109" s="612">
        <f t="shared" si="111"/>
        <v>241.29000000000002</v>
      </c>
      <c r="AJ109" s="1111">
        <f t="shared" si="127"/>
        <v>240</v>
      </c>
      <c r="AK109" s="1112">
        <f t="shared" si="113"/>
        <v>10.26</v>
      </c>
      <c r="AL109" s="1112">
        <f t="shared" si="128"/>
        <v>9.5</v>
      </c>
      <c r="AM109" s="1112">
        <f t="shared" si="114"/>
        <v>0.76</v>
      </c>
      <c r="AN109" s="1111"/>
      <c r="AO109" s="1111"/>
      <c r="AP109" s="1111"/>
      <c r="AQ109" s="612">
        <f t="shared" si="87"/>
        <v>356.2715878163304</v>
      </c>
      <c r="AR109" s="847">
        <f t="shared" si="102"/>
        <v>1376.2666868151914</v>
      </c>
      <c r="AS109" s="1111">
        <f t="shared" si="112"/>
        <v>172.26</v>
      </c>
      <c r="AT109" s="321">
        <f t="shared" si="108"/>
        <v>282</v>
      </c>
      <c r="AU109" s="852">
        <v>0.93</v>
      </c>
      <c r="AV109" s="852">
        <v>0.82</v>
      </c>
      <c r="AW109" s="852">
        <v>0.3</v>
      </c>
      <c r="AX109" s="1115">
        <v>0.61</v>
      </c>
      <c r="AY109" s="1115">
        <v>0.97</v>
      </c>
      <c r="AZ109" s="606">
        <f t="shared" si="129"/>
        <v>0.50729999999999997</v>
      </c>
      <c r="BA109" s="1111">
        <f>$BA$107/$H$107*H109*K109/$K$107</f>
        <v>93.161038961038955</v>
      </c>
      <c r="BB109" s="1111">
        <f>$BB$107/$H$107*H109*K109/$K$107</f>
        <v>129.22337662337662</v>
      </c>
      <c r="BC109" s="303">
        <f t="shared" si="83"/>
        <v>-3.5127933299999996</v>
      </c>
      <c r="BD109" s="277"/>
      <c r="BE109" s="277"/>
      <c r="BF109" s="277"/>
      <c r="BG109" s="277"/>
      <c r="BH109" s="277"/>
      <c r="BI109" s="277"/>
      <c r="BJ109" s="277"/>
      <c r="BK109" s="277"/>
      <c r="BL109" s="277"/>
      <c r="BM109" s="277"/>
      <c r="BN109" s="277"/>
      <c r="BO109" s="277"/>
      <c r="BP109" s="277"/>
      <c r="BQ109" s="277"/>
      <c r="BR109" s="277"/>
      <c r="BS109" s="277"/>
      <c r="BT109" s="277"/>
      <c r="BU109" s="277"/>
      <c r="BV109" s="277"/>
      <c r="BW109" s="277"/>
      <c r="BX109" s="277"/>
      <c r="BY109" s="277"/>
      <c r="BZ109" s="277"/>
      <c r="CA109" s="277"/>
      <c r="CB109" s="277"/>
      <c r="CC109" s="277"/>
      <c r="CD109" s="277"/>
      <c r="CE109" s="277"/>
      <c r="CF109" s="277"/>
      <c r="CG109" s="277"/>
      <c r="CH109" s="277"/>
      <c r="CI109" s="277"/>
      <c r="CJ109" s="277"/>
      <c r="CK109" s="277"/>
      <c r="CL109" s="277"/>
      <c r="CM109" s="277"/>
      <c r="CN109" s="277"/>
      <c r="CO109" s="277"/>
      <c r="CP109" s="277"/>
      <c r="CQ109" s="277"/>
      <c r="CR109" s="277"/>
      <c r="CS109" s="277"/>
      <c r="CT109" s="277"/>
      <c r="CU109" s="277"/>
      <c r="CV109" s="277"/>
      <c r="CW109" s="277"/>
      <c r="CX109" s="277"/>
      <c r="CY109" s="277"/>
      <c r="CZ109" s="277"/>
      <c r="DA109" s="277"/>
      <c r="DB109" s="277"/>
      <c r="DC109" s="277"/>
      <c r="DD109" s="277"/>
      <c r="DE109" s="277"/>
      <c r="DF109" s="277"/>
      <c r="DG109" s="277"/>
      <c r="DH109" s="277"/>
      <c r="DI109" s="277"/>
      <c r="DJ109" s="277"/>
      <c r="DK109" s="277"/>
      <c r="DL109" s="277"/>
      <c r="DM109" s="277"/>
      <c r="DN109" s="277"/>
      <c r="DO109" s="277"/>
      <c r="DP109" s="277"/>
      <c r="DQ109" s="277"/>
      <c r="DR109" s="277"/>
      <c r="DS109" s="277"/>
      <c r="DT109" s="277"/>
      <c r="DU109" s="277"/>
      <c r="DV109" s="277"/>
      <c r="DW109" s="277"/>
      <c r="DX109" s="277"/>
      <c r="DY109" s="277"/>
      <c r="DZ109" s="277"/>
      <c r="EA109" s="277"/>
      <c r="EB109" s="277"/>
      <c r="EC109" s="277"/>
      <c r="ED109" s="277"/>
      <c r="EE109" s="277"/>
      <c r="EF109" s="277"/>
      <c r="EG109" s="277"/>
      <c r="EH109" s="277"/>
      <c r="EI109" s="277"/>
      <c r="EJ109" s="277"/>
      <c r="EK109" s="277"/>
      <c r="EL109" s="277"/>
      <c r="EM109" s="277"/>
    </row>
    <row r="110" spans="1:143" s="3" customFormat="1" ht="12.5" customHeight="1">
      <c r="A110" s="897" t="str">
        <f t="shared" si="93"/>
        <v xml:space="preserve">Sojaschrot HP 46% RP </v>
      </c>
      <c r="B110" s="298">
        <f>IF(D110=""," ",COUNTA($D$8:D110))</f>
        <v>101</v>
      </c>
      <c r="C110" s="327"/>
      <c r="D110" s="887" t="s">
        <v>67</v>
      </c>
      <c r="E110" s="888">
        <f t="shared" si="107"/>
        <v>46</v>
      </c>
      <c r="F110" s="889"/>
      <c r="G110" s="890" t="s">
        <v>553</v>
      </c>
      <c r="H110" s="884">
        <v>890</v>
      </c>
      <c r="I110" s="884">
        <v>459</v>
      </c>
      <c r="J110" s="884">
        <f t="shared" si="115"/>
        <v>376.38</v>
      </c>
      <c r="K110" s="884">
        <v>47</v>
      </c>
      <c r="L110" s="317">
        <f t="shared" si="109"/>
        <v>13.838336999999999</v>
      </c>
      <c r="M110" s="882">
        <f t="shared" si="116"/>
        <v>13.974468999999999</v>
      </c>
      <c r="N110" s="883">
        <f t="shared" si="117"/>
        <v>28.192745454545456</v>
      </c>
      <c r="O110" s="891">
        <f t="shared" si="118"/>
        <v>24.527688545454545</v>
      </c>
      <c r="P110" s="883">
        <f t="shared" si="119"/>
        <v>12.910350000000001</v>
      </c>
      <c r="Q110" s="316">
        <f t="shared" si="120"/>
        <v>10.753328446153846</v>
      </c>
      <c r="R110" s="883">
        <f t="shared" si="121"/>
        <v>18.017713636363638</v>
      </c>
      <c r="S110" s="316">
        <f t="shared" si="122"/>
        <v>15.495233727272728</v>
      </c>
      <c r="T110" s="883">
        <f t="shared" si="123"/>
        <v>6.2470772727272728</v>
      </c>
      <c r="U110" s="891">
        <f t="shared" si="124"/>
        <v>5.3724864545454549</v>
      </c>
      <c r="V110" s="883">
        <f>IF($I110=0," ",IF(I110&gt;459.99,$V$108*$I$108/$I110,$V$112*$I$112/$I110))</f>
        <v>3.1493900188235293</v>
      </c>
      <c r="W110" s="883">
        <f>IF($I110=0," ",IF(I110&gt;459.99,$W$108*$I110/$I$108,$W$112*$I110/$I$112))</f>
        <v>6.7989832535885162</v>
      </c>
      <c r="X110" s="891">
        <f t="shared" si="125"/>
        <v>2.7195933014354066</v>
      </c>
      <c r="Y110" s="891">
        <f>IF($I110=0," ",W110*0.65)</f>
        <v>4.4193391148325354</v>
      </c>
      <c r="Z110" s="883">
        <f>IF($I110=0," ",IF(I110&gt;459.99,$Z$108*$I$108/$I110,$Z$112*$I$112/$I110))</f>
        <v>2.7232836601307189</v>
      </c>
      <c r="AA110" s="882">
        <f>0.19*$H$108/1000</f>
        <v>0.1691</v>
      </c>
      <c r="AB110" s="892">
        <f>23.2*$H$108/1000</f>
        <v>20.648</v>
      </c>
      <c r="AC110" s="883">
        <f t="shared" si="126"/>
        <v>6.1591590909090916</v>
      </c>
      <c r="AD110" s="883">
        <f t="shared" si="110"/>
        <v>5.4200600000000003</v>
      </c>
      <c r="AE110" s="884">
        <v>20</v>
      </c>
      <c r="AF110" s="884">
        <v>49</v>
      </c>
      <c r="AG110" s="884">
        <v>97</v>
      </c>
      <c r="AH110" s="884">
        <v>67</v>
      </c>
      <c r="AI110" s="880">
        <f>IF($I110=""," ",(H110-AH110)*AU110-I110*AV110-AE110*AW110-AF110-AG110)</f>
        <v>237.01</v>
      </c>
      <c r="AJ110" s="884">
        <f t="shared" si="127"/>
        <v>248</v>
      </c>
      <c r="AK110" s="883">
        <f t="shared" si="113"/>
        <v>10.8</v>
      </c>
      <c r="AL110" s="883">
        <f t="shared" si="128"/>
        <v>10</v>
      </c>
      <c r="AM110" s="883">
        <f t="shared" si="114"/>
        <v>0.8</v>
      </c>
      <c r="AN110" s="884"/>
      <c r="AO110" s="884"/>
      <c r="AP110" s="884"/>
      <c r="AQ110" s="314">
        <f t="shared" si="87"/>
        <v>344.61148277030367</v>
      </c>
      <c r="AR110" s="314">
        <f t="shared" si="102"/>
        <v>1343.2803008614587</v>
      </c>
      <c r="AS110" s="884">
        <f t="shared" si="112"/>
        <v>170.76</v>
      </c>
      <c r="AT110" s="314">
        <f t="shared" si="108"/>
        <v>297</v>
      </c>
      <c r="AU110" s="886">
        <v>0.93</v>
      </c>
      <c r="AV110" s="886">
        <v>0.82</v>
      </c>
      <c r="AW110" s="886">
        <v>0.3</v>
      </c>
      <c r="AX110" s="886">
        <v>0.61</v>
      </c>
      <c r="AY110" s="886">
        <v>0.97</v>
      </c>
      <c r="AZ110" s="882">
        <f t="shared" si="129"/>
        <v>0.50729999999999997</v>
      </c>
      <c r="BA110" s="884">
        <f>$BA$107/$H$107*H110*K110/$K$107</f>
        <v>84.203246753246759</v>
      </c>
      <c r="BB110" s="884">
        <f>$BB$107/$H$107*H110*K110/$K$107</f>
        <v>116.79805194805196</v>
      </c>
      <c r="BC110" s="317">
        <f t="shared" si="83"/>
        <v>-2.7426376300000013</v>
      </c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277"/>
      <c r="BN110" s="277"/>
      <c r="BO110" s="277"/>
      <c r="BP110" s="277"/>
      <c r="BQ110" s="277"/>
      <c r="BR110" s="277"/>
      <c r="BS110" s="277"/>
      <c r="BT110" s="277"/>
      <c r="BU110" s="277"/>
      <c r="BV110" s="277"/>
      <c r="BW110" s="277"/>
      <c r="BX110" s="277"/>
      <c r="BY110" s="277"/>
      <c r="BZ110" s="277"/>
      <c r="CA110" s="277"/>
      <c r="CB110" s="277"/>
      <c r="CC110" s="277"/>
      <c r="CD110" s="277"/>
      <c r="CE110" s="277"/>
      <c r="CF110" s="277"/>
      <c r="CG110" s="277"/>
      <c r="CH110" s="277"/>
      <c r="CI110" s="277"/>
      <c r="CJ110" s="277"/>
      <c r="CK110" s="277"/>
      <c r="CL110" s="277"/>
      <c r="CM110" s="277"/>
      <c r="CN110" s="277"/>
      <c r="CO110" s="277"/>
      <c r="CP110" s="277"/>
      <c r="CQ110" s="277"/>
      <c r="CR110" s="277"/>
      <c r="CS110" s="277"/>
      <c r="CT110" s="277"/>
      <c r="CU110" s="277"/>
      <c r="CV110" s="277"/>
      <c r="CW110" s="277"/>
      <c r="CX110" s="277"/>
      <c r="CY110" s="277"/>
      <c r="CZ110" s="277"/>
      <c r="DA110" s="277"/>
      <c r="DB110" s="277"/>
      <c r="DC110" s="277"/>
      <c r="DD110" s="277"/>
      <c r="DE110" s="277"/>
      <c r="DF110" s="277"/>
      <c r="DG110" s="277"/>
      <c r="DH110" s="277"/>
      <c r="DI110" s="277"/>
      <c r="DJ110" s="277"/>
      <c r="DK110" s="277"/>
      <c r="DL110" s="277"/>
      <c r="DM110" s="277"/>
      <c r="DN110" s="277"/>
      <c r="DO110" s="277"/>
      <c r="DP110" s="277"/>
      <c r="DQ110" s="277"/>
      <c r="DR110" s="277"/>
      <c r="DS110" s="277"/>
      <c r="DT110" s="277"/>
      <c r="DU110" s="277"/>
      <c r="DV110" s="277"/>
      <c r="DW110" s="277"/>
      <c r="DX110" s="277"/>
      <c r="DY110" s="277"/>
      <c r="DZ110" s="277"/>
      <c r="EA110" s="277"/>
      <c r="EB110" s="277"/>
      <c r="EC110" s="277"/>
      <c r="ED110" s="277"/>
      <c r="EE110" s="277"/>
      <c r="EF110" s="277"/>
      <c r="EG110" s="277"/>
      <c r="EH110" s="277"/>
      <c r="EI110" s="277"/>
      <c r="EJ110" s="277"/>
      <c r="EK110" s="277"/>
      <c r="EL110" s="277"/>
      <c r="EM110" s="277"/>
    </row>
    <row r="111" spans="1:143">
      <c r="A111" s="897" t="str">
        <f>IF(E111=" ",D111&amp;" "&amp;F111,D111&amp;" "&amp;E111&amp;"% RP "&amp;F111)</f>
        <v xml:space="preserve">Sojaschrot GVO-frei, Brasil 45% RP </v>
      </c>
      <c r="B111" s="298">
        <f>IF(D111=""," ",COUNTA($D$8:D111))</f>
        <v>102</v>
      </c>
      <c r="C111" s="327"/>
      <c r="D111" s="482" t="s">
        <v>692</v>
      </c>
      <c r="E111" s="617">
        <f>IF(I111=0," ",ROUND(I111/10,0))</f>
        <v>45</v>
      </c>
      <c r="F111" s="319"/>
      <c r="H111" s="11">
        <v>870</v>
      </c>
      <c r="I111" s="11">
        <v>448</v>
      </c>
      <c r="J111" s="321">
        <f t="shared" si="115"/>
        <v>367.35999999999996</v>
      </c>
      <c r="K111" s="11">
        <f>69.4*0.89</f>
        <v>61.766000000000005</v>
      </c>
      <c r="L111" s="303">
        <f t="shared" si="109"/>
        <v>13.626042000000002</v>
      </c>
      <c r="M111" s="322">
        <f t="shared" si="116"/>
        <v>13.266680648000001</v>
      </c>
      <c r="N111" s="311">
        <f t="shared" si="117"/>
        <v>27.523354545454545</v>
      </c>
      <c r="O111" s="302">
        <f>IF(N111=" "," ",N111*0.87)</f>
        <v>23.945318454545454</v>
      </c>
      <c r="P111" s="311">
        <f>IF(N111=" "," ",(I111/H111*880*0.0274+0.33)/880*H111)</f>
        <v>12.601450000000002</v>
      </c>
      <c r="Q111" s="302">
        <f t="shared" si="120"/>
        <v>10.496038507692308</v>
      </c>
      <c r="R111" s="311">
        <f t="shared" si="121"/>
        <v>17.589586363636364</v>
      </c>
      <c r="S111" s="302">
        <f t="shared" si="122"/>
        <v>15.127044272727273</v>
      </c>
      <c r="T111" s="311">
        <f t="shared" si="123"/>
        <v>6.0992227272727284</v>
      </c>
      <c r="U111" s="8">
        <f>IF(N111=" "," ",T111*0.86)</f>
        <v>5.2453315454545466</v>
      </c>
      <c r="V111" s="6">
        <v>2.9</v>
      </c>
      <c r="W111" s="6">
        <v>5.5</v>
      </c>
      <c r="X111" s="302">
        <f t="shared" si="125"/>
        <v>2.2000000000000002</v>
      </c>
      <c r="Y111" s="8">
        <f>IF($I111=0," ",W111*0.65)</f>
        <v>3.5750000000000002</v>
      </c>
      <c r="Z111" s="6">
        <v>2.8</v>
      </c>
      <c r="AA111" s="606">
        <f>0.26*0.89</f>
        <v>0.23140000000000002</v>
      </c>
      <c r="AB111" s="607">
        <f>22.95*0.89</f>
        <v>20.4255</v>
      </c>
      <c r="AC111" s="311">
        <f>IF($I111=""," ",($I111/H111*880*0.013+0.19)/880*H111)</f>
        <v>6.0118409090909095</v>
      </c>
      <c r="AD111" s="311">
        <f>AC111*0.88</f>
        <v>5.2904200000000001</v>
      </c>
      <c r="AE111" s="321">
        <v>22</v>
      </c>
      <c r="AF111" s="321">
        <v>44</v>
      </c>
      <c r="AG111" s="321">
        <v>67</v>
      </c>
      <c r="AH111" s="321">
        <v>56</v>
      </c>
      <c r="AI111" s="612">
        <f>(H111-AH111)*AU111-I111*AV111-AE111*AW111-AF111-AG111</f>
        <v>272.06000000000012</v>
      </c>
      <c r="AJ111" s="321">
        <f t="shared" si="127"/>
        <v>238.23400000000004</v>
      </c>
      <c r="AK111" s="311">
        <f t="shared" si="113"/>
        <v>11.88</v>
      </c>
      <c r="AL111" s="311">
        <f t="shared" si="128"/>
        <v>11</v>
      </c>
      <c r="AM111" s="311">
        <f t="shared" si="114"/>
        <v>0.88</v>
      </c>
      <c r="AN111" s="321"/>
      <c r="AO111" s="321"/>
      <c r="AP111" s="321"/>
      <c r="AQ111" s="612">
        <f t="shared" si="87"/>
        <v>416.44054999999997</v>
      </c>
      <c r="AR111" s="847">
        <f t="shared" si="102"/>
        <v>1314.4860000000001</v>
      </c>
      <c r="AS111" s="321">
        <f t="shared" si="112"/>
        <v>191.97721999999993</v>
      </c>
      <c r="AT111" s="321">
        <f t="shared" si="108"/>
        <v>282.23399999999998</v>
      </c>
      <c r="AU111" s="852">
        <v>0.93</v>
      </c>
      <c r="AV111" s="852">
        <v>0.82</v>
      </c>
      <c r="AW111" s="852">
        <v>0.3</v>
      </c>
      <c r="AX111" s="852">
        <v>0.61</v>
      </c>
      <c r="AY111" s="852">
        <v>0.94</v>
      </c>
      <c r="AZ111" s="606">
        <f t="shared" si="129"/>
        <v>0.49589999999999995</v>
      </c>
      <c r="BA111" s="1111">
        <f>$BA$107/$H$107*H111*K111/$K$107</f>
        <v>108.17071558441559</v>
      </c>
      <c r="BB111" s="1111">
        <f>$BB$107/$H$107*H111*K111/$K$107</f>
        <v>150.04325064935068</v>
      </c>
      <c r="BC111" s="303">
        <f t="shared" si="83"/>
        <v>-3.5217291269599991</v>
      </c>
    </row>
    <row r="112" spans="1:143">
      <c r="A112" s="897" t="str">
        <f t="shared" si="93"/>
        <v>Sojaschrot  45% RP DLG FuDb</v>
      </c>
      <c r="B112" s="298">
        <f>IF(D112=""," ",COUNTA($D$8:D112))</f>
        <v>103</v>
      </c>
      <c r="C112" s="327"/>
      <c r="D112" s="482" t="s">
        <v>628</v>
      </c>
      <c r="E112" s="617">
        <f t="shared" si="107"/>
        <v>45</v>
      </c>
      <c r="F112" s="319" t="s">
        <v>977</v>
      </c>
      <c r="H112" s="11">
        <v>890</v>
      </c>
      <c r="I112" s="11">
        <f>501.6*0.89</f>
        <v>446.42400000000004</v>
      </c>
      <c r="J112" s="321">
        <f t="shared" si="115"/>
        <v>366.06768</v>
      </c>
      <c r="K112" s="11">
        <f>69.4*0.89</f>
        <v>61.766000000000005</v>
      </c>
      <c r="L112" s="303">
        <f t="shared" si="109"/>
        <v>13.167056139</v>
      </c>
      <c r="M112" s="322">
        <f t="shared" si="116"/>
        <v>13.374436534200003</v>
      </c>
      <c r="N112" s="311">
        <f t="shared" si="117"/>
        <v>27.535020654545455</v>
      </c>
      <c r="O112" s="302">
        <f t="shared" si="118"/>
        <v>23.955467969454546</v>
      </c>
      <c r="P112" s="311">
        <f t="shared" si="119"/>
        <v>12.565767600000001</v>
      </c>
      <c r="Q112" s="302">
        <f>IF(N112=" "," ",P112*0.86)</f>
        <v>10.806560136</v>
      </c>
      <c r="R112" s="311">
        <f t="shared" si="121"/>
        <v>17.591387236363637</v>
      </c>
      <c r="S112" s="302">
        <f t="shared" ref="S112:S117" si="130">IF(N112=" "," ",R112*0.86)</f>
        <v>15.128593023272728</v>
      </c>
      <c r="T112" s="311">
        <f t="shared" si="123"/>
        <v>6.1099988727272727</v>
      </c>
      <c r="U112" s="8">
        <f t="shared" si="124"/>
        <v>5.2545990305454549</v>
      </c>
      <c r="V112" s="6">
        <f>3.618*0.895</f>
        <v>3.2381099999999998</v>
      </c>
      <c r="W112" s="6">
        <f>7.43*0.89</f>
        <v>6.6127000000000002</v>
      </c>
      <c r="X112" s="302">
        <f t="shared" si="125"/>
        <v>2.6450800000000001</v>
      </c>
      <c r="Y112" s="8">
        <f t="shared" ref="Y112:Y121" si="131">IF($I112=0," ",W112*0.65)</f>
        <v>4.2982550000000002</v>
      </c>
      <c r="Z112" s="6">
        <v>2.8</v>
      </c>
      <c r="AA112" s="606">
        <f>0.26*0.89</f>
        <v>0.23140000000000002</v>
      </c>
      <c r="AB112" s="607">
        <f>22.95*0.89</f>
        <v>20.4255</v>
      </c>
      <c r="AC112" s="311">
        <f t="shared" si="126"/>
        <v>5.9956710909090916</v>
      </c>
      <c r="AD112" s="311">
        <f t="shared" si="110"/>
        <v>5.2761905600000008</v>
      </c>
      <c r="AE112" s="321">
        <f>17.67*0.89</f>
        <v>15.726300000000002</v>
      </c>
      <c r="AF112" s="321">
        <f>67.86*0.89</f>
        <v>60.395400000000002</v>
      </c>
      <c r="AG112" s="321">
        <f>108.6*0.89</f>
        <v>96.653999999999996</v>
      </c>
      <c r="AH112" s="321">
        <f>69.82*0.89</f>
        <v>62.139799999999994</v>
      </c>
      <c r="AI112" s="612">
        <f>(H112-AH112)*AU112-I112*AV112-AE112*AW112-AF112-AG112</f>
        <v>190.2017219999999</v>
      </c>
      <c r="AJ112" s="321">
        <f t="shared" si="127"/>
        <v>243.54849999999999</v>
      </c>
      <c r="AK112" s="311">
        <f t="shared" si="113"/>
        <v>8.4922020000000007</v>
      </c>
      <c r="AL112" s="311">
        <f t="shared" si="128"/>
        <v>7.863150000000001</v>
      </c>
      <c r="AM112" s="311">
        <f t="shared" si="114"/>
        <v>0.62905200000000006</v>
      </c>
      <c r="AN112" s="321"/>
      <c r="AO112" s="321"/>
      <c r="AP112" s="321"/>
      <c r="AQ112" s="612">
        <f t="shared" si="87"/>
        <v>367.84142119999984</v>
      </c>
      <c r="AR112" s="847">
        <f t="shared" si="102"/>
        <v>1317.3555354000002</v>
      </c>
      <c r="AS112" s="321">
        <f t="shared" si="112"/>
        <v>173.12938599999995</v>
      </c>
      <c r="AT112" s="321">
        <f t="shared" si="108"/>
        <v>303.94389999999999</v>
      </c>
      <c r="AU112" s="852">
        <v>0.87</v>
      </c>
      <c r="AV112" s="852">
        <v>0.82</v>
      </c>
      <c r="AW112" s="852">
        <v>0.44</v>
      </c>
      <c r="AX112" s="852">
        <v>0.72</v>
      </c>
      <c r="AY112" s="852">
        <v>0.94</v>
      </c>
      <c r="AZ112" s="606">
        <f t="shared" si="129"/>
        <v>0.50729999999999997</v>
      </c>
      <c r="BA112" s="321">
        <f>91*H112/1000*K112/$K$108</f>
        <v>140.13228621291449</v>
      </c>
      <c r="BB112" s="321">
        <f>152.4*H112/1000*K112/$K$108</f>
        <v>234.68308152580403</v>
      </c>
      <c r="BC112" s="303">
        <f t="shared" si="83"/>
        <v>-3.4980618300339992</v>
      </c>
    </row>
    <row r="113" spans="1:143" s="3" customFormat="1" ht="12.5" customHeight="1">
      <c r="A113" s="897" t="str">
        <f t="shared" si="93"/>
        <v xml:space="preserve">eigenes Sojaschrot </v>
      </c>
      <c r="B113" s="298">
        <f>IF(D113=""," ",COUNTA($D$8:D113))</f>
        <v>104</v>
      </c>
      <c r="C113" s="327"/>
      <c r="D113" s="480" t="s">
        <v>357</v>
      </c>
      <c r="E113" s="619" t="str">
        <f t="shared" si="107"/>
        <v xml:space="preserve"> </v>
      </c>
      <c r="F113" s="304"/>
      <c r="G113" s="305"/>
      <c r="H113" s="91"/>
      <c r="I113" s="91"/>
      <c r="J113" s="306" t="str">
        <f>IF(I113=0," ",I113*0.82)</f>
        <v xml:space="preserve"> </v>
      </c>
      <c r="K113" s="91"/>
      <c r="L113" s="988" t="str">
        <f>IF($I113=""," ",I113*0.0205*AV113+0.0398*AW113*AE113+0.0173*AF113+0.016*$AG113+0.0147*AI113)</f>
        <v xml:space="preserve"> </v>
      </c>
      <c r="M113" s="988" t="str">
        <f t="shared" si="116"/>
        <v xml:space="preserve"> </v>
      </c>
      <c r="N113" s="307" t="str">
        <f t="shared" si="117"/>
        <v xml:space="preserve"> </v>
      </c>
      <c r="O113" s="308" t="str">
        <f t="shared" si="118"/>
        <v xml:space="preserve"> </v>
      </c>
      <c r="P113" s="307" t="str">
        <f t="shared" si="119"/>
        <v xml:space="preserve"> </v>
      </c>
      <c r="Q113" s="308" t="str">
        <f>IF(N113=" "," ",P113*(5.9*0.88+6.8*0.79)/12.7)</f>
        <v xml:space="preserve"> </v>
      </c>
      <c r="R113" s="307" t="str">
        <f t="shared" si="121"/>
        <v xml:space="preserve"> </v>
      </c>
      <c r="S113" s="308" t="str">
        <f t="shared" si="130"/>
        <v xml:space="preserve"> </v>
      </c>
      <c r="T113" s="307" t="str">
        <f t="shared" si="123"/>
        <v xml:space="preserve"> </v>
      </c>
      <c r="U113" s="308" t="str">
        <f t="shared" si="124"/>
        <v xml:space="preserve"> </v>
      </c>
      <c r="V113" s="307" t="str">
        <f>IF($I113=0," ",IF(I113&gt;459.99,$V$108*$I$108/$I113*$H$113/$H$108,$V$112*$I$112/$I113*$H$113/$H$112))</f>
        <v xml:space="preserve"> </v>
      </c>
      <c r="W113" s="307" t="str">
        <f>IF($I113=0," ",IF(I113&gt;459.99,$W$108*$I113/$I$108*$H$113/$H$108,$W$112*$I113/I$112*H$113/H$112))</f>
        <v xml:space="preserve"> </v>
      </c>
      <c r="X113" s="308" t="str">
        <f>IF($I113=0," ",W113*0.4)</f>
        <v xml:space="preserve"> </v>
      </c>
      <c r="Y113" s="307" t="str">
        <f t="shared" si="131"/>
        <v xml:space="preserve"> </v>
      </c>
      <c r="Z113" s="307" t="str">
        <f>IF($I113=0," ",IF(I113&gt;459.99,$Z$108*$I$108/$I113*$H$113/$H$108,$Z$112*$I$112/$I113*$H$113/$H$112))</f>
        <v xml:space="preserve"> </v>
      </c>
      <c r="AA113" s="309" t="str">
        <f>IF($I113=0," ",IF(I113&gt;459.99,$AA$108*$I$108/$I113*$H$113/$H$108,$AA$112*$I$112/$I113*$H$113/$H$112))</f>
        <v xml:space="preserve"> </v>
      </c>
      <c r="AB113" s="310" t="str">
        <f>IF($I113=0," ",IF(I113&gt;459.99,$AB$108*$I113/$I$108*$H$113/$H$108,$AB$112*$I113/$I$112*$H$113/$H$112))</f>
        <v xml:space="preserve"> </v>
      </c>
      <c r="AC113" s="307" t="str">
        <f t="shared" si="126"/>
        <v xml:space="preserve"> </v>
      </c>
      <c r="AD113" s="307" t="str">
        <f>IF(AC113=" "," ",AC113*0.88)</f>
        <v xml:space="preserve"> </v>
      </c>
      <c r="AE113" s="92"/>
      <c r="AF113" s="92"/>
      <c r="AG113" s="92"/>
      <c r="AH113" s="92"/>
      <c r="AI113" s="306" t="str">
        <f>IF($I113=""," ",(H113-AH113)*AU113-I113*AV113-AE113*AW113-AF113-AG113)</f>
        <v xml:space="preserve"> </v>
      </c>
      <c r="AJ113" s="306" t="str">
        <f t="shared" si="127"/>
        <v xml:space="preserve"> </v>
      </c>
      <c r="AK113" s="307" t="str">
        <f t="shared" ref="AK113:AP113" si="132">IF($I113=0," ",AK112*$H113/$H112)</f>
        <v xml:space="preserve"> </v>
      </c>
      <c r="AL113" s="307" t="str">
        <f t="shared" si="132"/>
        <v xml:space="preserve"> </v>
      </c>
      <c r="AM113" s="307" t="str">
        <f t="shared" si="132"/>
        <v xml:space="preserve"> </v>
      </c>
      <c r="AN113" s="306" t="str">
        <f t="shared" si="132"/>
        <v xml:space="preserve"> </v>
      </c>
      <c r="AO113" s="306" t="str">
        <f t="shared" si="132"/>
        <v xml:space="preserve"> </v>
      </c>
      <c r="AP113" s="306" t="str">
        <f t="shared" si="132"/>
        <v xml:space="preserve"> </v>
      </c>
      <c r="AQ113" s="306" t="str">
        <f t="shared" si="87"/>
        <v/>
      </c>
      <c r="AR113" s="306" t="str">
        <f t="shared" si="102"/>
        <v/>
      </c>
      <c r="AS113" s="306" t="str">
        <f>IF($I113=0," ",AX113*K113+AY113*AT113-AF113-AG113)</f>
        <v xml:space="preserve"> </v>
      </c>
      <c r="AT113" s="92" t="str">
        <f>IF(H113=""," ",H113-I113-AE113-AH113-K113)</f>
        <v xml:space="preserve"> </v>
      </c>
      <c r="AU113" s="853" t="str">
        <f>IF($I113=0," ",AU112)</f>
        <v xml:space="preserve"> </v>
      </c>
      <c r="AV113" s="853" t="str">
        <f>IF($I113=0," ",AV112)</f>
        <v xml:space="preserve"> </v>
      </c>
      <c r="AW113" s="853" t="str">
        <f>IF($I113=0," ",AW112)</f>
        <v xml:space="preserve"> </v>
      </c>
      <c r="AX113" s="853" t="str">
        <f>IF($I113=0," ",AX112)</f>
        <v xml:space="preserve"> </v>
      </c>
      <c r="AY113" s="853" t="str">
        <f>IF($I113=0," ",AY112)</f>
        <v xml:space="preserve"> </v>
      </c>
      <c r="AZ113" s="309" t="str">
        <f>IF($I113=0," ",AZ112*$H113/$H112)</f>
        <v xml:space="preserve"> </v>
      </c>
      <c r="BA113" s="92" t="str">
        <f>IF($I113=0," ",$BA$115*$H113/$H$115*K113/$K$115)</f>
        <v xml:space="preserve"> </v>
      </c>
      <c r="BB113" s="92" t="str">
        <f>IF($I113=0," ",$BB$115*$H113/$H$115*K113/$K$115)</f>
        <v xml:space="preserve"> </v>
      </c>
      <c r="BC113" s="988" t="str">
        <f t="shared" si="83"/>
        <v/>
      </c>
      <c r="BD113" s="277"/>
      <c r="BE113" s="277"/>
      <c r="BF113" s="277"/>
      <c r="BG113" s="277"/>
      <c r="BH113" s="277"/>
      <c r="BI113" s="277"/>
      <c r="BJ113" s="277"/>
      <c r="BK113" s="277"/>
      <c r="BL113" s="277"/>
      <c r="BM113" s="277"/>
      <c r="BN113" s="277"/>
      <c r="BO113" s="277"/>
      <c r="BP113" s="277"/>
      <c r="BQ113" s="277"/>
      <c r="BR113" s="277"/>
      <c r="BS113" s="277"/>
      <c r="BT113" s="277"/>
      <c r="BU113" s="277"/>
      <c r="BV113" s="277"/>
      <c r="BW113" s="277"/>
      <c r="BX113" s="277"/>
      <c r="BY113" s="277"/>
      <c r="BZ113" s="277"/>
      <c r="CA113" s="277"/>
      <c r="CB113" s="277"/>
      <c r="CC113" s="277"/>
      <c r="CD113" s="277"/>
      <c r="CE113" s="277"/>
      <c r="CF113" s="277"/>
      <c r="CG113" s="277"/>
      <c r="CH113" s="277"/>
      <c r="CI113" s="277"/>
      <c r="CJ113" s="277"/>
      <c r="CK113" s="277"/>
      <c r="CL113" s="277"/>
      <c r="CM113" s="277"/>
      <c r="CN113" s="277"/>
      <c r="CO113" s="277"/>
      <c r="CP113" s="277"/>
      <c r="CQ113" s="277"/>
      <c r="CR113" s="277"/>
      <c r="CS113" s="277"/>
      <c r="CT113" s="277"/>
      <c r="CU113" s="277"/>
      <c r="CV113" s="277"/>
      <c r="CW113" s="277"/>
      <c r="CX113" s="277"/>
      <c r="CY113" s="277"/>
      <c r="CZ113" s="277"/>
      <c r="DA113" s="277"/>
      <c r="DB113" s="277"/>
      <c r="DC113" s="277"/>
      <c r="DD113" s="277"/>
      <c r="DE113" s="277"/>
      <c r="DF113" s="277"/>
      <c r="DG113" s="277"/>
      <c r="DH113" s="277"/>
      <c r="DI113" s="277"/>
      <c r="DJ113" s="277"/>
      <c r="DK113" s="277"/>
      <c r="DL113" s="277"/>
      <c r="DM113" s="277"/>
      <c r="DN113" s="277"/>
      <c r="DO113" s="277"/>
      <c r="DP113" s="277"/>
      <c r="DQ113" s="277"/>
      <c r="DR113" s="277"/>
      <c r="DS113" s="277"/>
      <c r="DT113" s="277"/>
      <c r="DU113" s="277"/>
      <c r="DV113" s="277"/>
      <c r="DW113" s="277"/>
      <c r="DX113" s="277"/>
      <c r="DY113" s="277"/>
      <c r="DZ113" s="277"/>
      <c r="EA113" s="277"/>
      <c r="EB113" s="277"/>
      <c r="EC113" s="277"/>
      <c r="ED113" s="277"/>
      <c r="EE113" s="277"/>
      <c r="EF113" s="277"/>
      <c r="EG113" s="277"/>
      <c r="EH113" s="277"/>
      <c r="EI113" s="277"/>
      <c r="EJ113" s="277"/>
      <c r="EK113" s="277"/>
      <c r="EL113" s="277"/>
      <c r="EM113" s="277"/>
    </row>
    <row r="114" spans="1:143" s="3" customFormat="1" ht="12.5" customHeight="1">
      <c r="A114" s="897" t="str">
        <f t="shared" si="93"/>
        <v xml:space="preserve">Sojaschrot 44% RP </v>
      </c>
      <c r="B114" s="298">
        <f>IF(D114=""," ",COUNTA($D$8:D114))</f>
        <v>105</v>
      </c>
      <c r="C114" s="327"/>
      <c r="D114" s="482" t="s">
        <v>626</v>
      </c>
      <c r="E114" s="617">
        <f t="shared" si="107"/>
        <v>44</v>
      </c>
      <c r="F114" s="319"/>
      <c r="G114" s="300" t="s">
        <v>50</v>
      </c>
      <c r="H114" s="275">
        <v>890</v>
      </c>
      <c r="I114" s="275">
        <v>440</v>
      </c>
      <c r="J114" s="321">
        <f t="shared" ref="J114:J121" si="133">I114*0.82</f>
        <v>360.79999999999995</v>
      </c>
      <c r="K114" s="275">
        <v>67</v>
      </c>
      <c r="L114" s="303">
        <f t="shared" ref="L114:L125" si="134">I114*0.0205*AV114+0.0398*AW114*AE114+0.0173*AF114+0.016*$AG114+0.0147*AI114</f>
        <v>13.154765999999999</v>
      </c>
      <c r="M114" s="322">
        <f t="shared" si="116"/>
        <v>13.227282000000002</v>
      </c>
      <c r="N114" s="311">
        <f t="shared" si="117"/>
        <v>27.199045454545455</v>
      </c>
      <c r="O114" s="302">
        <f t="shared" si="118"/>
        <v>23.663169545454547</v>
      </c>
      <c r="P114" s="311">
        <f t="shared" si="119"/>
        <v>12.389750000000001</v>
      </c>
      <c r="Q114" s="302">
        <f>IF(N114=" "," ",P114*(5.9*0.88+6.8*0.79)/12.7)</f>
        <v>10.305930629921262</v>
      </c>
      <c r="R114" s="311">
        <f t="shared" si="121"/>
        <v>17.373613636363633</v>
      </c>
      <c r="S114" s="302">
        <f t="shared" si="130"/>
        <v>14.941307727272724</v>
      </c>
      <c r="T114" s="311">
        <f t="shared" si="123"/>
        <v>6.0399772727272723</v>
      </c>
      <c r="U114" s="302">
        <f t="shared" si="124"/>
        <v>5.1943804545454544</v>
      </c>
      <c r="V114" s="311">
        <v>3.1</v>
      </c>
      <c r="W114" s="311">
        <v>6.1</v>
      </c>
      <c r="X114" s="302">
        <f t="shared" ref="X114:X121" si="135">W114*0.4</f>
        <v>2.44</v>
      </c>
      <c r="Y114" s="302">
        <f t="shared" si="131"/>
        <v>3.9649999999999999</v>
      </c>
      <c r="Z114" s="311">
        <f>IF($I114=0," ",IF(I114&gt;459.99,$Z$108*$I$108/$I114,$Z$112*$I$112/$I114))</f>
        <v>2.8408799999999998</v>
      </c>
      <c r="AA114" s="322">
        <v>0.15</v>
      </c>
      <c r="AB114" s="323">
        <v>20.399999999999999</v>
      </c>
      <c r="AC114" s="311">
        <f t="shared" si="126"/>
        <v>5.9121590909090909</v>
      </c>
      <c r="AD114" s="311">
        <f t="shared" ref="AD114:AD121" si="136">AC114*0.88</f>
        <v>5.2027000000000001</v>
      </c>
      <c r="AE114" s="321">
        <v>23</v>
      </c>
      <c r="AF114" s="321">
        <v>49</v>
      </c>
      <c r="AG114" s="321">
        <v>90</v>
      </c>
      <c r="AH114" s="321">
        <v>64</v>
      </c>
      <c r="AI114" s="612">
        <f>(H114-AH114)*AU114-I114*AV114-AE114*AW114-AF114-AG114</f>
        <v>208.70000000000005</v>
      </c>
      <c r="AJ114" s="321">
        <f t="shared" si="127"/>
        <v>247</v>
      </c>
      <c r="AK114" s="311">
        <f t="shared" ref="AK114:AK121" si="137">AL114+AM114</f>
        <v>12.42</v>
      </c>
      <c r="AL114" s="311">
        <f t="shared" ref="AL114:AL121" si="138">50*AE114/100</f>
        <v>11.5</v>
      </c>
      <c r="AM114" s="311">
        <f t="shared" ref="AM114:AM121" si="139">4*AE114/100</f>
        <v>0.92</v>
      </c>
      <c r="AN114" s="321"/>
      <c r="AO114" s="321"/>
      <c r="AP114" s="321"/>
      <c r="AQ114" s="612">
        <f t="shared" si="87"/>
        <v>392.62189000000001</v>
      </c>
      <c r="AR114" s="847">
        <f t="shared" si="102"/>
        <v>1300.5007679999999</v>
      </c>
      <c r="AS114" s="321">
        <f t="shared" ref="AS114:AS125" si="140">AX114*K114+AY114*AT114-AF114-AG114</f>
        <v>187.48000000000002</v>
      </c>
      <c r="AT114" s="321">
        <f t="shared" si="108"/>
        <v>296</v>
      </c>
      <c r="AU114" s="852">
        <v>0.87</v>
      </c>
      <c r="AV114" s="852">
        <v>0.82</v>
      </c>
      <c r="AW114" s="852">
        <v>0.44</v>
      </c>
      <c r="AX114" s="852">
        <v>0.72</v>
      </c>
      <c r="AY114" s="852">
        <v>0.94</v>
      </c>
      <c r="AZ114" s="322">
        <f>0.57*H114/1000</f>
        <v>0.50729999999999997</v>
      </c>
      <c r="BA114" s="1111">
        <f>$BA$115/$H$115*H114*K114/$K$115</f>
        <v>119.71174242424242</v>
      </c>
      <c r="BB114" s="1111">
        <f>$BB$115/$H$115*H114*K114/$K$115</f>
        <v>188.60246212121211</v>
      </c>
      <c r="BC114" s="303">
        <f t="shared" si="83"/>
        <v>-3.4110841399999985</v>
      </c>
      <c r="BD114" s="277"/>
      <c r="BE114" s="277"/>
      <c r="BF114" s="277"/>
      <c r="BG114" s="277"/>
      <c r="BH114" s="277"/>
      <c r="BI114" s="277"/>
      <c r="BJ114" s="277"/>
      <c r="BK114" s="277"/>
      <c r="BL114" s="277"/>
      <c r="BM114" s="277"/>
      <c r="BN114" s="277"/>
      <c r="BO114" s="277"/>
      <c r="BP114" s="277"/>
      <c r="BQ114" s="277"/>
      <c r="BR114" s="277"/>
      <c r="BS114" s="277"/>
      <c r="BT114" s="277"/>
      <c r="BU114" s="277"/>
      <c r="BV114" s="277"/>
      <c r="BW114" s="277"/>
      <c r="BX114" s="277"/>
      <c r="BY114" s="277"/>
      <c r="BZ114" s="277"/>
      <c r="CA114" s="277"/>
      <c r="CB114" s="277"/>
      <c r="CC114" s="277"/>
      <c r="CD114" s="277"/>
      <c r="CE114" s="277"/>
      <c r="CF114" s="277"/>
      <c r="CG114" s="277"/>
      <c r="CH114" s="277"/>
      <c r="CI114" s="277"/>
      <c r="CJ114" s="277"/>
      <c r="CK114" s="277"/>
      <c r="CL114" s="277"/>
      <c r="CM114" s="277"/>
      <c r="CN114" s="277"/>
      <c r="CO114" s="277"/>
      <c r="CP114" s="277"/>
      <c r="CQ114" s="277"/>
      <c r="CR114" s="277"/>
      <c r="CS114" s="277"/>
      <c r="CT114" s="277"/>
      <c r="CU114" s="277"/>
      <c r="CV114" s="277"/>
      <c r="CW114" s="277"/>
      <c r="CX114" s="277"/>
      <c r="CY114" s="277"/>
      <c r="CZ114" s="277"/>
      <c r="DA114" s="277"/>
      <c r="DB114" s="277"/>
      <c r="DC114" s="277"/>
      <c r="DD114" s="277"/>
      <c r="DE114" s="277"/>
      <c r="DF114" s="277"/>
      <c r="DG114" s="277"/>
      <c r="DH114" s="277"/>
      <c r="DI114" s="277"/>
      <c r="DJ114" s="277"/>
      <c r="DK114" s="277"/>
      <c r="DL114" s="277"/>
      <c r="DM114" s="277"/>
      <c r="DN114" s="277"/>
      <c r="DO114" s="277"/>
      <c r="DP114" s="277"/>
      <c r="DQ114" s="277"/>
      <c r="DR114" s="277"/>
      <c r="DS114" s="277"/>
      <c r="DT114" s="277"/>
      <c r="DU114" s="277"/>
      <c r="DV114" s="277"/>
      <c r="DW114" s="277"/>
      <c r="DX114" s="277"/>
      <c r="DY114" s="277"/>
      <c r="DZ114" s="277"/>
      <c r="EA114" s="277"/>
      <c r="EB114" s="277"/>
      <c r="EC114" s="277"/>
      <c r="ED114" s="277"/>
      <c r="EE114" s="277"/>
      <c r="EF114" s="277"/>
      <c r="EG114" s="277"/>
      <c r="EH114" s="277"/>
      <c r="EI114" s="277"/>
      <c r="EJ114" s="277"/>
      <c r="EK114" s="277"/>
      <c r="EL114" s="277"/>
      <c r="EM114" s="277"/>
    </row>
    <row r="115" spans="1:143" s="4" customFormat="1" ht="12.5" customHeight="1">
      <c r="A115" s="897" t="str">
        <f>IF(E115=" ",D115&amp;" "&amp;F115,D115&amp;" "&amp;E115&amp;"% RP "&amp;F115)</f>
        <v>Sojaschrot 44% RP DLG 2014</v>
      </c>
      <c r="B115" s="298">
        <f>IF(D115=""," ",COUNTA($D$8:D116))</f>
        <v>107</v>
      </c>
      <c r="C115" s="327"/>
      <c r="D115" s="482" t="s">
        <v>626</v>
      </c>
      <c r="E115" s="617">
        <f>IF(I115=0," ",ROUND(I115/10,0))</f>
        <v>44</v>
      </c>
      <c r="F115" s="319" t="s">
        <v>969</v>
      </c>
      <c r="G115" s="320"/>
      <c r="H115" s="321">
        <v>880</v>
      </c>
      <c r="I115" s="321">
        <v>440</v>
      </c>
      <c r="J115" s="321">
        <f t="shared" si="133"/>
        <v>360.79999999999995</v>
      </c>
      <c r="K115" s="321">
        <v>60</v>
      </c>
      <c r="L115" s="303">
        <f>I115*0.0205*AV115+0.0398*AW115*AE115+0.0173*AF115+0.016*$AG115+0.0147*AI115</f>
        <v>13.002691999999998</v>
      </c>
      <c r="M115" s="322">
        <f>IF(I115=""," ",$I115*0.021503+0.032497*$AE115+0.016309*$AF115+0.014701*$AJ115-0.021071*$K115)</f>
        <v>13.229208000000002</v>
      </c>
      <c r="N115" s="311">
        <f>IF(I115=0," ",(I115/H115*880*0.0523+4.14)/880*H115)</f>
        <v>27.152000000000001</v>
      </c>
      <c r="O115" s="302">
        <f>IF(N115=" "," ",N115*0.87)</f>
        <v>23.622240000000001</v>
      </c>
      <c r="P115" s="311">
        <f>IF(N115=" "," ",(I115/H115*880*0.0274+0.33)/880*H115)</f>
        <v>12.386000000000001</v>
      </c>
      <c r="Q115" s="302">
        <f>IF(N115=" "," ",P115*(5.9*0.88+6.8*0.79)/12.7)</f>
        <v>10.302811338582679</v>
      </c>
      <c r="R115" s="311">
        <f>IF(N115=" "," ",(I115/H115*880*0.0339+2.43)/880*H115)</f>
        <v>17.346</v>
      </c>
      <c r="S115" s="302">
        <f t="shared" si="130"/>
        <v>14.91756</v>
      </c>
      <c r="T115" s="311">
        <f>IF(N115=" "," ",(I115/H115*880*0.0109+1.23)/880*H115)</f>
        <v>6.0259999999999998</v>
      </c>
      <c r="U115" s="302">
        <f>IF(N115=" "," ",T115*0.86)</f>
        <v>5.1823600000000001</v>
      </c>
      <c r="V115" s="311">
        <v>3</v>
      </c>
      <c r="W115" s="311">
        <v>6.4</v>
      </c>
      <c r="X115" s="302">
        <f t="shared" si="135"/>
        <v>2.5600000000000005</v>
      </c>
      <c r="Y115" s="302">
        <f>IF($I115=0," ",W115*0.65)</f>
        <v>4.16</v>
      </c>
      <c r="Z115" s="311">
        <v>2.7</v>
      </c>
      <c r="AA115" s="322">
        <f>IF($I115=0," ",IF(I115&gt;459.99,$AA$108*$I$108/$I115,$AA$112*$I$112/$I115))</f>
        <v>0.23477844000000003</v>
      </c>
      <c r="AB115" s="323">
        <v>21.2</v>
      </c>
      <c r="AC115" s="311">
        <f>IF($I115=""," ",($I115/H115*880*0.013+0.19)/880*H115)</f>
        <v>5.91</v>
      </c>
      <c r="AD115" s="311">
        <f>AC115*0.88</f>
        <v>5.2008000000000001</v>
      </c>
      <c r="AE115" s="321">
        <v>13</v>
      </c>
      <c r="AF115" s="321">
        <v>60</v>
      </c>
      <c r="AG115" s="321">
        <v>95</v>
      </c>
      <c r="AH115" s="321">
        <v>60</v>
      </c>
      <c r="AI115" s="612">
        <f>(H115-AH115)*AU115-I115*AV115-AE115*AW115-AF115-AG115</f>
        <v>191.88</v>
      </c>
      <c r="AJ115" s="321">
        <f>IF($I115=""," ",$H115-($AE115+$AF115+$AH115+$I115+$K115))</f>
        <v>247</v>
      </c>
      <c r="AK115" s="311">
        <f t="shared" si="137"/>
        <v>7.02</v>
      </c>
      <c r="AL115" s="311">
        <f t="shared" si="138"/>
        <v>6.5</v>
      </c>
      <c r="AM115" s="311">
        <f t="shared" si="139"/>
        <v>0.52</v>
      </c>
      <c r="AN115" s="321"/>
      <c r="AO115" s="321"/>
      <c r="AP115" s="321"/>
      <c r="AQ115" s="612">
        <f>IF(H115="","",50*V115+83*Z115+26*AB115+44*AA115-59*W115-13*P115-28*AZ115)</f>
        <v>362.51625135999996</v>
      </c>
      <c r="AR115" s="847">
        <f>IF(H115="","",V115/1000*20140+Z115/1000*48600+1100/440*I115)</f>
        <v>1291.6399999999999</v>
      </c>
      <c r="AS115" s="321">
        <f>AX115*K115+AY115*AT115-AF115-AG115</f>
        <v>160.16000000000003</v>
      </c>
      <c r="AT115" s="321">
        <f t="shared" si="108"/>
        <v>307</v>
      </c>
      <c r="AU115" s="852">
        <v>0.87</v>
      </c>
      <c r="AV115" s="852">
        <v>0.82</v>
      </c>
      <c r="AW115" s="852">
        <v>0.44</v>
      </c>
      <c r="AX115" s="852">
        <v>0.75</v>
      </c>
      <c r="AY115" s="852">
        <v>0.88</v>
      </c>
      <c r="AZ115" s="322">
        <f>1.4*H115/1000</f>
        <v>1.232</v>
      </c>
      <c r="BA115" s="321">
        <v>106</v>
      </c>
      <c r="BB115" s="321">
        <v>167</v>
      </c>
      <c r="BC115" s="303">
        <f t="shared" si="83"/>
        <v>-3.5076781599999984</v>
      </c>
      <c r="BD115" s="277"/>
      <c r="BE115" s="277"/>
      <c r="BF115" s="277"/>
      <c r="BG115" s="277"/>
      <c r="BH115" s="277"/>
      <c r="BI115" s="277"/>
      <c r="BJ115" s="277"/>
      <c r="BK115" s="277"/>
      <c r="BL115" s="277"/>
      <c r="BM115" s="277"/>
      <c r="BN115" s="277"/>
      <c r="BO115" s="277"/>
      <c r="BP115" s="277"/>
      <c r="BQ115" s="277"/>
      <c r="BR115" s="277"/>
      <c r="BS115" s="277"/>
      <c r="BT115" s="277"/>
      <c r="BU115" s="277"/>
      <c r="BV115" s="277"/>
      <c r="BW115" s="277"/>
      <c r="BX115" s="277"/>
      <c r="BY115" s="277"/>
      <c r="BZ115" s="277"/>
      <c r="CA115" s="277"/>
      <c r="CB115" s="277"/>
      <c r="CC115" s="277"/>
      <c r="CD115" s="277"/>
      <c r="CE115" s="277"/>
      <c r="CF115" s="277"/>
      <c r="CG115" s="277"/>
      <c r="CH115" s="277"/>
      <c r="CI115" s="277"/>
      <c r="CJ115" s="277"/>
      <c r="CK115" s="277"/>
      <c r="CL115" s="277"/>
      <c r="CM115" s="277"/>
      <c r="CN115" s="277"/>
      <c r="CO115" s="277"/>
      <c r="CP115" s="277"/>
      <c r="CQ115" s="277"/>
      <c r="CR115" s="277"/>
      <c r="CS115" s="277"/>
      <c r="CT115" s="277"/>
      <c r="CU115" s="277"/>
      <c r="CV115" s="277"/>
      <c r="CW115" s="277"/>
      <c r="CX115" s="277"/>
      <c r="CY115" s="277"/>
      <c r="CZ115" s="277"/>
      <c r="DA115" s="277"/>
      <c r="DB115" s="277"/>
      <c r="DC115" s="277"/>
      <c r="DD115" s="277"/>
      <c r="DE115" s="277"/>
      <c r="DF115" s="277"/>
      <c r="DG115" s="277"/>
      <c r="DH115" s="277"/>
      <c r="DI115" s="277"/>
      <c r="DJ115" s="277"/>
      <c r="DK115" s="277"/>
      <c r="DL115" s="277"/>
      <c r="DM115" s="277"/>
      <c r="DN115" s="277"/>
      <c r="DO115" s="277"/>
      <c r="DP115" s="277"/>
      <c r="DQ115" s="277"/>
      <c r="DR115" s="277"/>
      <c r="DS115" s="277"/>
      <c r="DT115" s="277"/>
      <c r="DU115" s="277"/>
      <c r="DV115" s="277"/>
      <c r="DW115" s="277"/>
      <c r="DX115" s="277"/>
      <c r="DY115" s="277"/>
      <c r="DZ115" s="277"/>
      <c r="EA115" s="277"/>
      <c r="EB115" s="277"/>
      <c r="EC115" s="277"/>
      <c r="ED115" s="277"/>
      <c r="EE115" s="277"/>
      <c r="EF115" s="277"/>
      <c r="EG115" s="277"/>
      <c r="EH115" s="277"/>
      <c r="EI115" s="277"/>
      <c r="EJ115" s="277"/>
      <c r="EK115" s="277"/>
      <c r="EL115" s="277"/>
      <c r="EM115" s="277"/>
    </row>
    <row r="116" spans="1:143" s="3" customFormat="1" ht="12.5" customHeight="1">
      <c r="A116" s="897" t="str">
        <f t="shared" si="93"/>
        <v xml:space="preserve">Sojaschrot 43% RP </v>
      </c>
      <c r="B116" s="298">
        <f>IF(D116=""," ",COUNTA($D$8:D116))</f>
        <v>107</v>
      </c>
      <c r="C116" s="327"/>
      <c r="D116" s="887" t="s">
        <v>626</v>
      </c>
      <c r="E116" s="888">
        <f>IF(I116=0," ",ROUND(I116/10,0))</f>
        <v>43</v>
      </c>
      <c r="F116" s="889"/>
      <c r="G116" s="890" t="s">
        <v>544</v>
      </c>
      <c r="H116" s="884">
        <v>890</v>
      </c>
      <c r="I116" s="884">
        <v>429</v>
      </c>
      <c r="J116" s="884">
        <f t="shared" si="133"/>
        <v>351.78</v>
      </c>
      <c r="K116" s="884">
        <v>69</v>
      </c>
      <c r="L116" s="317">
        <f t="shared" si="134"/>
        <v>13.097460999999999</v>
      </c>
      <c r="M116" s="882">
        <f t="shared" si="116"/>
        <v>13.071039000000003</v>
      </c>
      <c r="N116" s="883">
        <f t="shared" si="117"/>
        <v>26.623745454545457</v>
      </c>
      <c r="O116" s="891">
        <f t="shared" si="118"/>
        <v>23.162658545454548</v>
      </c>
      <c r="P116" s="883">
        <f t="shared" si="119"/>
        <v>12.08835</v>
      </c>
      <c r="Q116" s="891">
        <f>IF(N116=" "," ",P116*(5.9*0.88+6.8*0.79)/12.7)</f>
        <v>10.055222787401576</v>
      </c>
      <c r="R116" s="883">
        <f t="shared" si="121"/>
        <v>17.000713636363642</v>
      </c>
      <c r="S116" s="891">
        <f t="shared" si="130"/>
        <v>14.620613727272731</v>
      </c>
      <c r="T116" s="883">
        <f t="shared" si="123"/>
        <v>5.9200772727272728</v>
      </c>
      <c r="U116" s="891">
        <f>IF(N116=" "," ",T116*0.86)</f>
        <v>5.0912664545454547</v>
      </c>
      <c r="V116" s="883">
        <v>4</v>
      </c>
      <c r="W116" s="883">
        <v>6.1</v>
      </c>
      <c r="X116" s="891">
        <f t="shared" si="135"/>
        <v>2.44</v>
      </c>
      <c r="Y116" s="891">
        <f>IF($I116=0," ",W116*0.65)</f>
        <v>3.9649999999999999</v>
      </c>
      <c r="Z116" s="883">
        <f>IF($I116=0," ",IF(I116&gt;459.99,$Z$108*$I$108/$I116,$Z$112*$I$112/$I116))</f>
        <v>2.9137230769230769</v>
      </c>
      <c r="AA116" s="882">
        <v>0.13</v>
      </c>
      <c r="AB116" s="892">
        <v>20.399999999999999</v>
      </c>
      <c r="AC116" s="883">
        <f t="shared" si="126"/>
        <v>5.7691590909090911</v>
      </c>
      <c r="AD116" s="883">
        <f t="shared" si="136"/>
        <v>5.0768599999999999</v>
      </c>
      <c r="AE116" s="884">
        <v>23</v>
      </c>
      <c r="AF116" s="884">
        <v>52</v>
      </c>
      <c r="AG116" s="884">
        <v>90</v>
      </c>
      <c r="AH116" s="884">
        <v>65</v>
      </c>
      <c r="AI116" s="880">
        <f>IF($I116=""," ",(H116-AH116)*AU116-I116*AV116-AE116*AW116-AF116-AG116)</f>
        <v>213.85000000000002</v>
      </c>
      <c r="AJ116" s="884">
        <f t="shared" si="127"/>
        <v>252</v>
      </c>
      <c r="AK116" s="883">
        <f t="shared" si="137"/>
        <v>12.42</v>
      </c>
      <c r="AL116" s="883">
        <f t="shared" si="138"/>
        <v>11.5</v>
      </c>
      <c r="AM116" s="883">
        <f t="shared" si="139"/>
        <v>0.92</v>
      </c>
      <c r="AN116" s="884"/>
      <c r="AO116" s="884"/>
      <c r="AP116" s="884"/>
      <c r="AQ116" s="314">
        <f t="shared" si="87"/>
        <v>446.70606538461544</v>
      </c>
      <c r="AR116" s="314">
        <f t="shared" si="102"/>
        <v>1294.6669415384615</v>
      </c>
      <c r="AS116" s="884">
        <f t="shared" si="140"/>
        <v>193.44</v>
      </c>
      <c r="AT116" s="314">
        <f t="shared" si="108"/>
        <v>304</v>
      </c>
      <c r="AU116" s="886">
        <v>0.87</v>
      </c>
      <c r="AV116" s="886">
        <v>0.82</v>
      </c>
      <c r="AW116" s="886">
        <v>0.44</v>
      </c>
      <c r="AX116" s="886">
        <v>0.72</v>
      </c>
      <c r="AY116" s="886">
        <v>0.94</v>
      </c>
      <c r="AZ116" s="882">
        <f>0.57*H116/1000</f>
        <v>0.50729999999999997</v>
      </c>
      <c r="BA116" s="884">
        <f>$BA$115/$H$115*H116*K116/$K$115</f>
        <v>123.28522727272727</v>
      </c>
      <c r="BB116" s="884">
        <f>$BB$115/$H$115*H116*K116/$K$115</f>
        <v>194.23238636363632</v>
      </c>
      <c r="BC116" s="317">
        <f t="shared" si="83"/>
        <v>-3.2541415299999996</v>
      </c>
      <c r="BD116" s="277"/>
      <c r="BE116" s="277"/>
      <c r="BF116" s="277"/>
      <c r="BG116" s="277"/>
      <c r="BH116" s="277"/>
      <c r="BI116" s="277"/>
      <c r="BJ116" s="277"/>
      <c r="BK116" s="277"/>
      <c r="BL116" s="277"/>
      <c r="BM116" s="277"/>
      <c r="BN116" s="277"/>
      <c r="BO116" s="277"/>
      <c r="BP116" s="277"/>
      <c r="BQ116" s="277"/>
      <c r="BR116" s="277"/>
      <c r="BS116" s="277"/>
      <c r="BT116" s="277"/>
      <c r="BU116" s="277"/>
      <c r="BV116" s="277"/>
      <c r="BW116" s="277"/>
      <c r="BX116" s="277"/>
      <c r="BY116" s="277"/>
      <c r="BZ116" s="277"/>
      <c r="CA116" s="277"/>
      <c r="CB116" s="277"/>
      <c r="CC116" s="277"/>
      <c r="CD116" s="277"/>
      <c r="CE116" s="277"/>
      <c r="CF116" s="277"/>
      <c r="CG116" s="277"/>
      <c r="CH116" s="277"/>
      <c r="CI116" s="277"/>
      <c r="CJ116" s="277"/>
      <c r="CK116" s="277"/>
      <c r="CL116" s="277"/>
      <c r="CM116" s="277"/>
      <c r="CN116" s="277"/>
      <c r="CO116" s="277"/>
      <c r="CP116" s="277"/>
      <c r="CQ116" s="277"/>
      <c r="CR116" s="277"/>
      <c r="CS116" s="277"/>
      <c r="CT116" s="277"/>
      <c r="CU116" s="277"/>
      <c r="CV116" s="277"/>
      <c r="CW116" s="277"/>
      <c r="CX116" s="277"/>
      <c r="CY116" s="277"/>
      <c r="CZ116" s="277"/>
      <c r="DA116" s="277"/>
      <c r="DB116" s="277"/>
      <c r="DC116" s="277"/>
      <c r="DD116" s="277"/>
      <c r="DE116" s="277"/>
      <c r="DF116" s="277"/>
      <c r="DG116" s="277"/>
      <c r="DH116" s="277"/>
      <c r="DI116" s="277"/>
      <c r="DJ116" s="277"/>
      <c r="DK116" s="277"/>
      <c r="DL116" s="277"/>
      <c r="DM116" s="277"/>
      <c r="DN116" s="277"/>
      <c r="DO116" s="277"/>
      <c r="DP116" s="277"/>
      <c r="DQ116" s="277"/>
      <c r="DR116" s="277"/>
      <c r="DS116" s="277"/>
      <c r="DT116" s="277"/>
      <c r="DU116" s="277"/>
      <c r="DV116" s="277"/>
      <c r="DW116" s="277"/>
      <c r="DX116" s="277"/>
      <c r="DY116" s="277"/>
      <c r="DZ116" s="277"/>
      <c r="EA116" s="277"/>
      <c r="EB116" s="277"/>
      <c r="EC116" s="277"/>
      <c r="ED116" s="277"/>
      <c r="EE116" s="277"/>
      <c r="EF116" s="277"/>
      <c r="EG116" s="277"/>
      <c r="EH116" s="277"/>
      <c r="EI116" s="277"/>
      <c r="EJ116" s="277"/>
      <c r="EK116" s="277"/>
      <c r="EL116" s="277"/>
      <c r="EM116" s="277"/>
    </row>
    <row r="117" spans="1:143" s="4" customFormat="1" ht="12.5" customHeight="1">
      <c r="A117" s="897" t="str">
        <f>IF(E117=" ",D117&amp;" "&amp;F117,D117&amp;" "&amp;E117&amp;"% RP "&amp;F117)</f>
        <v>Sojaschrot, schalenreich 43% RP DLG 2014</v>
      </c>
      <c r="B117" s="298">
        <f>IF(D117=""," ",COUNTA($D$8:D117))</f>
        <v>108</v>
      </c>
      <c r="C117" s="327"/>
      <c r="D117" s="482" t="s">
        <v>339</v>
      </c>
      <c r="E117" s="620">
        <f>IF(I117=0," ",ROUND(I117/10,0))</f>
        <v>43</v>
      </c>
      <c r="F117" s="319" t="s">
        <v>969</v>
      </c>
      <c r="G117" s="320"/>
      <c r="H117" s="321">
        <v>880</v>
      </c>
      <c r="I117" s="321">
        <v>427</v>
      </c>
      <c r="J117" s="321">
        <f t="shared" si="133"/>
        <v>350.14</v>
      </c>
      <c r="K117" s="321">
        <v>82</v>
      </c>
      <c r="L117" s="303">
        <f>I117*0.0205*AV117+0.0398*AW117*AE117+0.0173*AF117+0.016*$AG117+0.0147*AI117</f>
        <v>12.591884367999999</v>
      </c>
      <c r="M117" s="322">
        <f>IF(I117=""," ",$I117*0.021503+0.032497*$AE117+0.016309*$AF117+0.014701*$AJ117-0.021071*$K117)</f>
        <v>12.382658296000001</v>
      </c>
      <c r="N117" s="311">
        <f>IF(I117=0," ",(I117/H117*880*0.0523+4.14)/880*H117)</f>
        <v>26.472100000000001</v>
      </c>
      <c r="O117" s="302">
        <f>IF(N117=" "," ",N117*0.89)</f>
        <v>23.560169000000002</v>
      </c>
      <c r="P117" s="311">
        <f>IF(N117=" "," ",(I117/H117*880*0.0274+0.33)/880*H117)</f>
        <v>12.0298</v>
      </c>
      <c r="Q117" s="302">
        <f>IF(N117=" "," ",P117*(6*0.88+5.7*0.79)/12.7)</f>
        <v>9.266734913385827</v>
      </c>
      <c r="R117" s="311">
        <f>IF(N117=" "," ",(I117/H117*880*0.0339+2.43)/880*H117)</f>
        <v>16.9053</v>
      </c>
      <c r="S117" s="302">
        <f t="shared" si="130"/>
        <v>14.538558</v>
      </c>
      <c r="T117" s="311">
        <f>IF(N117=" "," ",(I117/H117*880*0.0109+1.23)/880*H117)</f>
        <v>5.8842999999999996</v>
      </c>
      <c r="U117" s="302">
        <f>IF(N117=" "," ",T117*0.86)</f>
        <v>5.0604979999999999</v>
      </c>
      <c r="V117" s="311">
        <f>3.618*0.885</f>
        <v>3.2019299999999999</v>
      </c>
      <c r="W117" s="311">
        <f>7.292*0.88</f>
        <v>6.4169599999999996</v>
      </c>
      <c r="X117" s="302">
        <f t="shared" si="135"/>
        <v>2.5667840000000002</v>
      </c>
      <c r="Y117" s="302">
        <f>IF($I117=0," ",W117*0.65)</f>
        <v>4.1710240000000001</v>
      </c>
      <c r="Z117" s="311">
        <v>2.8</v>
      </c>
      <c r="AA117" s="322">
        <f>0.1835*0.88</f>
        <v>0.16147999999999998</v>
      </c>
      <c r="AB117" s="323">
        <f>22.96*0.88</f>
        <v>20.204800000000002</v>
      </c>
      <c r="AC117" s="311">
        <f>IF($I117=""," ",($I117/H117*880*0.013+0.19)/880*H117)</f>
        <v>5.7410000000000005</v>
      </c>
      <c r="AD117" s="311">
        <f>AC117*0.88</f>
        <v>5.0520800000000001</v>
      </c>
      <c r="AE117" s="321">
        <f>18.6*0.88</f>
        <v>16.368000000000002</v>
      </c>
      <c r="AF117" s="321">
        <f>60.1*0.88</f>
        <v>52.887999999999998</v>
      </c>
      <c r="AG117" s="321">
        <f>106.3*0.88</f>
        <v>93.543999999999997</v>
      </c>
      <c r="AH117" s="321">
        <f>69.7*0.88</f>
        <v>61.336000000000006</v>
      </c>
      <c r="AI117" s="612">
        <f>(H117-AH117)*AU117-I117*AV117-AE117*AW117-AF117-AG117</f>
        <v>183.41279999999995</v>
      </c>
      <c r="AJ117" s="321">
        <f t="shared" si="127"/>
        <v>240.40800000000002</v>
      </c>
      <c r="AK117" s="610">
        <f t="shared" si="137"/>
        <v>8.8387200000000004</v>
      </c>
      <c r="AL117" s="610">
        <f t="shared" si="138"/>
        <v>8.1840000000000011</v>
      </c>
      <c r="AM117" s="610">
        <f t="shared" si="139"/>
        <v>0.65472000000000008</v>
      </c>
      <c r="AN117" s="321"/>
      <c r="AO117" s="321"/>
      <c r="AP117" s="321"/>
      <c r="AQ117" s="612">
        <f>IF(H117="","",50*V117+83*Z117+26*AB117+44*AA117-59*W117-13*P117-28*AZ117)</f>
        <v>355.44238000000007</v>
      </c>
      <c r="AR117" s="847">
        <f>IF(H117="","",V117/1000*20140+Z117/1000*48600+1100/440*I117)</f>
        <v>1268.0668702</v>
      </c>
      <c r="AS117" s="321">
        <f>AX117*K117+AY117*AT117-AF117-AG117</f>
        <v>173.16848000000005</v>
      </c>
      <c r="AT117" s="321">
        <f t="shared" si="108"/>
        <v>293.29599999999999</v>
      </c>
      <c r="AU117" s="852">
        <v>0.84</v>
      </c>
      <c r="AV117" s="852">
        <v>0.82</v>
      </c>
      <c r="AW117" s="852">
        <v>0.47</v>
      </c>
      <c r="AX117" s="852">
        <v>0.75</v>
      </c>
      <c r="AY117" s="852">
        <v>0.88</v>
      </c>
      <c r="AZ117" s="322">
        <f>1.4*H117/1000</f>
        <v>1.232</v>
      </c>
      <c r="BA117" s="1111">
        <v>140</v>
      </c>
      <c r="BB117" s="1111">
        <v>210</v>
      </c>
      <c r="BC117" s="303">
        <f t="shared" si="83"/>
        <v>-4.585099443919999</v>
      </c>
      <c r="BD117" s="277"/>
      <c r="BE117" s="277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7"/>
      <c r="CT117" s="277"/>
      <c r="CU117" s="277"/>
      <c r="CV117" s="277"/>
      <c r="CW117" s="277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7"/>
      <c r="DI117" s="277"/>
      <c r="DJ117" s="277"/>
      <c r="DK117" s="277"/>
      <c r="DL117" s="277"/>
      <c r="DM117" s="277"/>
      <c r="DN117" s="277"/>
      <c r="DO117" s="277"/>
      <c r="DP117" s="277"/>
      <c r="DQ117" s="277"/>
      <c r="DR117" s="277"/>
      <c r="DS117" s="277"/>
      <c r="DT117" s="277"/>
      <c r="DU117" s="277"/>
      <c r="DV117" s="277"/>
      <c r="DW117" s="277"/>
      <c r="DX117" s="277"/>
      <c r="DY117" s="277"/>
      <c r="DZ117" s="277"/>
      <c r="EA117" s="277"/>
      <c r="EB117" s="277"/>
      <c r="EC117" s="277"/>
      <c r="ED117" s="277"/>
      <c r="EE117" s="277"/>
      <c r="EF117" s="277"/>
      <c r="EG117" s="277"/>
      <c r="EH117" s="277"/>
      <c r="EI117" s="277"/>
      <c r="EJ117" s="277"/>
      <c r="EK117" s="277"/>
      <c r="EL117" s="277"/>
      <c r="EM117" s="277"/>
    </row>
    <row r="118" spans="1:143" s="4" customFormat="1" ht="12.5" customHeight="1">
      <c r="A118" s="897" t="str">
        <f t="shared" si="93"/>
        <v>Sojaschrot, schalenreich 42% RP DLG FuDb</v>
      </c>
      <c r="B118" s="298">
        <f>IF(D118=""," ",COUNTA($D$8:D118))</f>
        <v>109</v>
      </c>
      <c r="C118" s="327"/>
      <c r="D118" s="482" t="s">
        <v>339</v>
      </c>
      <c r="E118" s="620">
        <f>IF(I118=0," ",ROUND(I118/10,0))</f>
        <v>42</v>
      </c>
      <c r="F118" s="319" t="s">
        <v>977</v>
      </c>
      <c r="G118" s="320"/>
      <c r="H118" s="321">
        <v>880</v>
      </c>
      <c r="I118" s="321">
        <f>482*0.88</f>
        <v>424.16</v>
      </c>
      <c r="J118" s="321">
        <f t="shared" si="133"/>
        <v>347.81119999999999</v>
      </c>
      <c r="K118" s="321">
        <f>94.36*0.88</f>
        <v>83.036799999999999</v>
      </c>
      <c r="L118" s="303">
        <f t="shared" si="134"/>
        <v>12.583161327999999</v>
      </c>
      <c r="M118" s="322">
        <f t="shared" si="116"/>
        <v>12.329648302400001</v>
      </c>
      <c r="N118" s="311">
        <f t="shared" si="117"/>
        <v>26.323568000000002</v>
      </c>
      <c r="O118" s="302">
        <f>IF(N118=" "," ",N118*0.89)</f>
        <v>23.42797552</v>
      </c>
      <c r="P118" s="311">
        <f t="shared" si="119"/>
        <v>11.951984000000001</v>
      </c>
      <c r="Q118" s="302">
        <f>IF(N118=" "," ",P118*(6*0.88+5.7*0.79)/12.7)</f>
        <v>9.206792084409452</v>
      </c>
      <c r="R118" s="311">
        <f t="shared" si="121"/>
        <v>16.809024000000001</v>
      </c>
      <c r="S118" s="302">
        <f>IF(N118=" "," ",R118*0.86)</f>
        <v>14.455760640000001</v>
      </c>
      <c r="T118" s="311">
        <f t="shared" si="123"/>
        <v>5.8533439999999999</v>
      </c>
      <c r="U118" s="302">
        <f>IF(N118=" "," ",T118*0.86)</f>
        <v>5.0338758399999994</v>
      </c>
      <c r="V118" s="311">
        <v>3.4</v>
      </c>
      <c r="W118" s="311">
        <v>6.3</v>
      </c>
      <c r="X118" s="302">
        <f t="shared" si="135"/>
        <v>2.52</v>
      </c>
      <c r="Y118" s="302">
        <f>IF($I118=0," ",W118*0.65)</f>
        <v>4.0949999999999998</v>
      </c>
      <c r="Z118" s="311">
        <v>2.6</v>
      </c>
      <c r="AA118" s="322">
        <f>0.1835*0.88</f>
        <v>0.16147999999999998</v>
      </c>
      <c r="AB118" s="323">
        <f>22.96*0.88</f>
        <v>20.204800000000002</v>
      </c>
      <c r="AC118" s="311">
        <f t="shared" si="126"/>
        <v>5.7040800000000003</v>
      </c>
      <c r="AD118" s="311">
        <f t="shared" si="136"/>
        <v>5.0195904000000002</v>
      </c>
      <c r="AE118" s="321">
        <f>18.6*0.88</f>
        <v>16.368000000000002</v>
      </c>
      <c r="AF118" s="321">
        <v>55</v>
      </c>
      <c r="AG118" s="321">
        <v>93</v>
      </c>
      <c r="AH118" s="321">
        <f>69.7*0.88</f>
        <v>61.336000000000006</v>
      </c>
      <c r="AI118" s="612">
        <f t="shared" ref="AI118:AI125" si="141">(H118-AH118)*AU118-I118*AV118-AE118*AW118-AF118-AG118</f>
        <v>184.17359999999991</v>
      </c>
      <c r="AJ118" s="321">
        <f t="shared" si="127"/>
        <v>240.0992</v>
      </c>
      <c r="AK118" s="610">
        <f t="shared" si="137"/>
        <v>8.8387200000000004</v>
      </c>
      <c r="AL118" s="610">
        <f t="shared" si="138"/>
        <v>8.1840000000000011</v>
      </c>
      <c r="AM118" s="610">
        <f t="shared" si="139"/>
        <v>0.65472000000000008</v>
      </c>
      <c r="AN118" s="321"/>
      <c r="AO118" s="321"/>
      <c r="AP118" s="321"/>
      <c r="AQ118" s="612">
        <f t="shared" si="87"/>
        <v>356.65812799999992</v>
      </c>
      <c r="AR118" s="847">
        <f t="shared" si="102"/>
        <v>1255.2360000000001</v>
      </c>
      <c r="AS118" s="321">
        <f t="shared" si="140"/>
        <v>173.96489600000001</v>
      </c>
      <c r="AT118" s="321">
        <f t="shared" si="108"/>
        <v>295.0992</v>
      </c>
      <c r="AU118" s="852">
        <v>0.84</v>
      </c>
      <c r="AV118" s="852">
        <v>0.82</v>
      </c>
      <c r="AW118" s="852">
        <v>0.47</v>
      </c>
      <c r="AX118" s="852">
        <v>0.75</v>
      </c>
      <c r="AY118" s="852">
        <v>0.88</v>
      </c>
      <c r="AZ118" s="322">
        <f>1.4*H118/1000</f>
        <v>1.232</v>
      </c>
      <c r="BA118" s="1111">
        <f>$BA$117/$H$117*H118*K118/$K$117</f>
        <v>141.7701463414634</v>
      </c>
      <c r="BB118" s="1111">
        <f>$BB$117/$H$117*H118*K118/$K$117</f>
        <v>212.65521951219512</v>
      </c>
      <c r="BC118" s="303">
        <f t="shared" si="83"/>
        <v>-4.555105539248002</v>
      </c>
      <c r="BD118" s="277"/>
      <c r="BE118" s="277"/>
      <c r="BF118" s="277"/>
      <c r="BG118" s="277"/>
      <c r="BH118" s="277"/>
      <c r="BI118" s="277"/>
      <c r="BJ118" s="277"/>
      <c r="BK118" s="277"/>
      <c r="BL118" s="277"/>
      <c r="BM118" s="277"/>
      <c r="BN118" s="277"/>
      <c r="BO118" s="277"/>
      <c r="BP118" s="277"/>
      <c r="BQ118" s="277"/>
      <c r="BR118" s="277"/>
      <c r="BS118" s="277"/>
      <c r="BT118" s="277"/>
      <c r="BU118" s="277"/>
      <c r="BV118" s="277"/>
      <c r="BW118" s="277"/>
      <c r="BX118" s="277"/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7"/>
      <c r="CQ118" s="277"/>
      <c r="CR118" s="277"/>
      <c r="CS118" s="277"/>
      <c r="CT118" s="277"/>
      <c r="CU118" s="277"/>
      <c r="CV118" s="277"/>
      <c r="CW118" s="277"/>
      <c r="CX118" s="277"/>
      <c r="CY118" s="277"/>
      <c r="CZ118" s="277"/>
      <c r="DA118" s="277"/>
      <c r="DB118" s="277"/>
      <c r="DC118" s="277"/>
      <c r="DD118" s="277"/>
      <c r="DE118" s="277"/>
      <c r="DF118" s="277"/>
      <c r="DG118" s="277"/>
      <c r="DH118" s="277"/>
      <c r="DI118" s="277"/>
      <c r="DJ118" s="277"/>
      <c r="DK118" s="277"/>
      <c r="DL118" s="277"/>
      <c r="DM118" s="277"/>
      <c r="DN118" s="277"/>
      <c r="DO118" s="277"/>
      <c r="DP118" s="277"/>
      <c r="DQ118" s="277"/>
      <c r="DR118" s="277"/>
      <c r="DS118" s="277"/>
      <c r="DT118" s="277"/>
      <c r="DU118" s="277"/>
      <c r="DV118" s="277"/>
      <c r="DW118" s="277"/>
      <c r="DX118" s="277"/>
      <c r="DY118" s="277"/>
      <c r="DZ118" s="277"/>
      <c r="EA118" s="277"/>
      <c r="EB118" s="277"/>
      <c r="EC118" s="277"/>
      <c r="ED118" s="277"/>
      <c r="EE118" s="277"/>
      <c r="EF118" s="277"/>
      <c r="EG118" s="277"/>
      <c r="EH118" s="277"/>
      <c r="EI118" s="277"/>
      <c r="EJ118" s="277"/>
      <c r="EK118" s="277"/>
      <c r="EL118" s="277"/>
      <c r="EM118" s="277"/>
    </row>
    <row r="119" spans="1:143" s="3" customFormat="1" ht="12.5" customHeight="1">
      <c r="A119" s="897" t="str">
        <f t="shared" si="93"/>
        <v xml:space="preserve">Sojaschrot, schalenreich 42% RP </v>
      </c>
      <c r="B119" s="298">
        <f>IF(D119=""," ",COUNTA($D$8:D119))</f>
        <v>110</v>
      </c>
      <c r="C119" s="327"/>
      <c r="D119" s="482" t="s">
        <v>339</v>
      </c>
      <c r="E119" s="620">
        <f t="shared" si="107"/>
        <v>42</v>
      </c>
      <c r="F119" s="299"/>
      <c r="G119" s="300" t="s">
        <v>141</v>
      </c>
      <c r="H119" s="275">
        <v>890</v>
      </c>
      <c r="I119" s="275">
        <v>420</v>
      </c>
      <c r="J119" s="321">
        <f t="shared" si="133"/>
        <v>344.4</v>
      </c>
      <c r="K119" s="275">
        <v>72</v>
      </c>
      <c r="L119" s="303">
        <f t="shared" si="134"/>
        <v>12.690603000000001</v>
      </c>
      <c r="M119" s="322">
        <f t="shared" si="116"/>
        <v>12.886196000000002</v>
      </c>
      <c r="N119" s="311">
        <f t="shared" si="117"/>
        <v>26.153045454545452</v>
      </c>
      <c r="O119" s="302">
        <f>IF(N119=" "," ",N119*0.89)</f>
        <v>23.276210454545453</v>
      </c>
      <c r="P119" s="311">
        <f t="shared" si="119"/>
        <v>11.841749999999999</v>
      </c>
      <c r="Q119" s="302">
        <f>IF(N119=" "," ",P119*(6*0.88+5.7*0.79)/12.7)</f>
        <v>9.1218771850393701</v>
      </c>
      <c r="R119" s="311">
        <f t="shared" si="121"/>
        <v>16.695613636363635</v>
      </c>
      <c r="S119" s="302">
        <f>IF(N119=" "," ",R119*0.86)</f>
        <v>14.358227727272727</v>
      </c>
      <c r="T119" s="311">
        <f t="shared" si="123"/>
        <v>5.8219772727272732</v>
      </c>
      <c r="U119" s="302">
        <f t="shared" si="124"/>
        <v>5.0069004545454545</v>
      </c>
      <c r="V119" s="274">
        <v>4.5</v>
      </c>
      <c r="W119" s="274">
        <v>6.3</v>
      </c>
      <c r="X119" s="302">
        <f t="shared" si="135"/>
        <v>2.52</v>
      </c>
      <c r="Y119" s="301">
        <f t="shared" si="131"/>
        <v>4.0949999999999998</v>
      </c>
      <c r="Z119" s="311">
        <f>IF($I119=0," ",IF(I119&gt;459.99,$Z$108*$I$108/$I119,$Z$112*$I$112/$I119))</f>
        <v>2.9761600000000001</v>
      </c>
      <c r="AA119" s="303">
        <v>0.13</v>
      </c>
      <c r="AB119" s="323">
        <v>20.2</v>
      </c>
      <c r="AC119" s="311">
        <f t="shared" si="126"/>
        <v>5.6521590909090902</v>
      </c>
      <c r="AD119" s="311">
        <f t="shared" si="136"/>
        <v>4.9738999999999995</v>
      </c>
      <c r="AE119" s="321">
        <v>23</v>
      </c>
      <c r="AF119" s="321">
        <v>51</v>
      </c>
      <c r="AG119" s="321">
        <v>88</v>
      </c>
      <c r="AH119" s="321">
        <v>66</v>
      </c>
      <c r="AI119" s="612">
        <f t="shared" si="141"/>
        <v>197.95</v>
      </c>
      <c r="AJ119" s="321">
        <f t="shared" si="127"/>
        <v>258</v>
      </c>
      <c r="AK119" s="610">
        <f t="shared" si="137"/>
        <v>12.42</v>
      </c>
      <c r="AL119" s="610">
        <f t="shared" si="138"/>
        <v>11.5</v>
      </c>
      <c r="AM119" s="610">
        <f t="shared" si="139"/>
        <v>0.92</v>
      </c>
      <c r="AN119" s="321"/>
      <c r="AO119" s="321"/>
      <c r="AP119" s="321"/>
      <c r="AQ119" s="612">
        <f t="shared" si="87"/>
        <v>442.41052999999999</v>
      </c>
      <c r="AR119" s="847">
        <f t="shared" si="102"/>
        <v>1285.2713759999999</v>
      </c>
      <c r="AS119" s="321">
        <f t="shared" si="140"/>
        <v>186.92000000000002</v>
      </c>
      <c r="AT119" s="321">
        <f t="shared" si="108"/>
        <v>309</v>
      </c>
      <c r="AU119" s="852">
        <v>0.84</v>
      </c>
      <c r="AV119" s="852">
        <v>0.82</v>
      </c>
      <c r="AW119" s="852">
        <v>0.47</v>
      </c>
      <c r="AX119" s="852">
        <v>0.75</v>
      </c>
      <c r="AY119" s="852">
        <v>0.88</v>
      </c>
      <c r="AZ119" s="322">
        <f>1.4*H119/1000</f>
        <v>1.246</v>
      </c>
      <c r="BA119" s="1111">
        <f>$BA$117/$H$117*H119*K119/$K$117</f>
        <v>124.32372505543236</v>
      </c>
      <c r="BB119" s="1111">
        <f>$BB$117/$H$117*H119*K119/$K$117</f>
        <v>186.48558758314857</v>
      </c>
      <c r="BC119" s="303">
        <f t="shared" si="83"/>
        <v>-3.2750769199999983</v>
      </c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7"/>
      <c r="BQ119" s="277"/>
      <c r="BR119" s="277"/>
      <c r="BS119" s="277"/>
      <c r="BT119" s="277"/>
      <c r="BU119" s="277"/>
      <c r="BV119" s="277"/>
      <c r="BW119" s="277"/>
      <c r="BX119" s="277"/>
      <c r="BY119" s="277"/>
      <c r="BZ119" s="277"/>
      <c r="CA119" s="277"/>
      <c r="CB119" s="277"/>
      <c r="CC119" s="277"/>
      <c r="CD119" s="277"/>
      <c r="CE119" s="277"/>
      <c r="CF119" s="277"/>
      <c r="CG119" s="277"/>
      <c r="CH119" s="277"/>
      <c r="CI119" s="277"/>
      <c r="CJ119" s="277"/>
      <c r="CK119" s="277"/>
      <c r="CL119" s="277"/>
      <c r="CM119" s="277"/>
      <c r="CN119" s="277"/>
      <c r="CO119" s="277"/>
      <c r="CP119" s="277"/>
      <c r="CQ119" s="277"/>
      <c r="CR119" s="277"/>
      <c r="CS119" s="277"/>
      <c r="CT119" s="277"/>
      <c r="CU119" s="277"/>
      <c r="CV119" s="277"/>
      <c r="CW119" s="277"/>
      <c r="CX119" s="277"/>
      <c r="CY119" s="277"/>
      <c r="CZ119" s="277"/>
      <c r="DA119" s="277"/>
      <c r="DB119" s="277"/>
      <c r="DC119" s="277"/>
      <c r="DD119" s="277"/>
      <c r="DE119" s="277"/>
      <c r="DF119" s="277"/>
      <c r="DG119" s="277"/>
      <c r="DH119" s="277"/>
      <c r="DI119" s="277"/>
      <c r="DJ119" s="277"/>
      <c r="DK119" s="277"/>
      <c r="DL119" s="277"/>
      <c r="DM119" s="277"/>
      <c r="DN119" s="277"/>
      <c r="DO119" s="277"/>
      <c r="DP119" s="277"/>
      <c r="DQ119" s="277"/>
      <c r="DR119" s="277"/>
      <c r="DS119" s="277"/>
      <c r="DT119" s="277"/>
      <c r="DU119" s="277"/>
      <c r="DV119" s="277"/>
      <c r="DW119" s="277"/>
      <c r="DX119" s="277"/>
      <c r="DY119" s="277"/>
      <c r="DZ119" s="277"/>
      <c r="EA119" s="277"/>
      <c r="EB119" s="277"/>
      <c r="EC119" s="277"/>
      <c r="ED119" s="277"/>
      <c r="EE119" s="277"/>
      <c r="EF119" s="277"/>
      <c r="EG119" s="277"/>
      <c r="EH119" s="277"/>
      <c r="EI119" s="277"/>
      <c r="EJ119" s="277"/>
      <c r="EK119" s="277"/>
      <c r="EL119" s="277"/>
      <c r="EM119" s="277"/>
    </row>
    <row r="120" spans="1:143" s="3" customFormat="1" ht="12.5" customHeight="1">
      <c r="A120" s="897" t="str">
        <f t="shared" ref="A120:A168" si="142">IF(E120=" ",D120&amp;" "&amp;F120,D120&amp;" "&amp;E120&amp;"% RP "&amp;F120)</f>
        <v xml:space="preserve">Sojaschrot, schalenreich 41% RP </v>
      </c>
      <c r="B120" s="298">
        <f>IF(D120=""," ",COUNTA($D$8:D120))</f>
        <v>111</v>
      </c>
      <c r="C120" s="327"/>
      <c r="D120" s="482" t="s">
        <v>339</v>
      </c>
      <c r="E120" s="617">
        <f t="shared" si="107"/>
        <v>41</v>
      </c>
      <c r="F120" s="299"/>
      <c r="G120" s="300" t="s">
        <v>54</v>
      </c>
      <c r="H120" s="275">
        <v>890</v>
      </c>
      <c r="I120" s="275">
        <v>410</v>
      </c>
      <c r="J120" s="321">
        <f t="shared" si="133"/>
        <v>336.2</v>
      </c>
      <c r="K120" s="275">
        <v>77</v>
      </c>
      <c r="L120" s="303">
        <f t="shared" si="134"/>
        <v>12.729226999999998</v>
      </c>
      <c r="M120" s="322">
        <f t="shared" si="116"/>
        <v>12.746334000000001</v>
      </c>
      <c r="N120" s="311">
        <f t="shared" si="117"/>
        <v>25.630045454545453</v>
      </c>
      <c r="O120" s="302">
        <f>IF(N120=" "," ",N120*0.89)</f>
        <v>22.810740454545453</v>
      </c>
      <c r="P120" s="311">
        <f t="shared" si="119"/>
        <v>11.56775</v>
      </c>
      <c r="Q120" s="302">
        <f>IF(N120=" "," ",P120*(6*0.88+5.7*0.79)/12.7)</f>
        <v>8.9108108858267734</v>
      </c>
      <c r="R120" s="311">
        <f t="shared" si="121"/>
        <v>16.356613636363637</v>
      </c>
      <c r="S120" s="302">
        <f>IF(N120=" "," ",R120*0.86)</f>
        <v>14.066687727272727</v>
      </c>
      <c r="T120" s="311">
        <f t="shared" si="123"/>
        <v>5.7129772727272741</v>
      </c>
      <c r="U120" s="302">
        <f t="shared" si="124"/>
        <v>4.9131604545454559</v>
      </c>
      <c r="V120" s="274">
        <v>4</v>
      </c>
      <c r="W120" s="274">
        <v>6.1</v>
      </c>
      <c r="X120" s="302">
        <f t="shared" si="135"/>
        <v>2.44</v>
      </c>
      <c r="Y120" s="301">
        <f t="shared" si="131"/>
        <v>3.9649999999999999</v>
      </c>
      <c r="Z120" s="311">
        <f>IF($I120=0," ",IF(I120&gt;459.99,$Z$108*$I$108/$I120,$Z$112*$I$112/$I120))</f>
        <v>3.0487492682926831</v>
      </c>
      <c r="AA120" s="303">
        <v>0.13</v>
      </c>
      <c r="AB120" s="323">
        <v>20.2</v>
      </c>
      <c r="AC120" s="311">
        <f t="shared" si="126"/>
        <v>5.5221590909090912</v>
      </c>
      <c r="AD120" s="311">
        <f t="shared" si="136"/>
        <v>4.8595000000000006</v>
      </c>
      <c r="AE120" s="321">
        <v>27</v>
      </c>
      <c r="AF120" s="321">
        <v>55</v>
      </c>
      <c r="AG120" s="321">
        <v>91</v>
      </c>
      <c r="AH120" s="321">
        <v>64</v>
      </c>
      <c r="AI120" s="612">
        <f t="shared" si="141"/>
        <v>198.94999999999993</v>
      </c>
      <c r="AJ120" s="321">
        <f t="shared" si="127"/>
        <v>257</v>
      </c>
      <c r="AK120" s="610">
        <f t="shared" si="137"/>
        <v>14.58</v>
      </c>
      <c r="AL120" s="610">
        <f t="shared" si="138"/>
        <v>13.5</v>
      </c>
      <c r="AM120" s="610">
        <f t="shared" si="139"/>
        <v>1.08</v>
      </c>
      <c r="AN120" s="321"/>
      <c r="AO120" s="321"/>
      <c r="AP120" s="321"/>
      <c r="AQ120" s="612">
        <f t="shared" si="87"/>
        <v>438.79743926829264</v>
      </c>
      <c r="AR120" s="847">
        <f t="shared" si="102"/>
        <v>1253.7292144390244</v>
      </c>
      <c r="AS120" s="321">
        <f t="shared" si="140"/>
        <v>186.31</v>
      </c>
      <c r="AT120" s="321">
        <f t="shared" si="108"/>
        <v>312</v>
      </c>
      <c r="AU120" s="852">
        <v>0.84</v>
      </c>
      <c r="AV120" s="852">
        <v>0.82</v>
      </c>
      <c r="AW120" s="852">
        <v>0.47</v>
      </c>
      <c r="AX120" s="852">
        <v>0.75</v>
      </c>
      <c r="AY120" s="852">
        <v>0.88</v>
      </c>
      <c r="AZ120" s="322">
        <f>1.4*H120/1000</f>
        <v>1.246</v>
      </c>
      <c r="BA120" s="1111">
        <f>$BA$117/$H$117*H120*K120/$K$117</f>
        <v>132.95731707317074</v>
      </c>
      <c r="BB120" s="1111">
        <f>$BB$117/$H$117*H120*K120/$K$117</f>
        <v>199.43597560975613</v>
      </c>
      <c r="BC120" s="303">
        <f t="shared" si="83"/>
        <v>-3.0221761800000007</v>
      </c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77"/>
      <c r="BP120" s="277"/>
      <c r="BQ120" s="277"/>
      <c r="BR120" s="277"/>
      <c r="BS120" s="277"/>
      <c r="BT120" s="277"/>
      <c r="BU120" s="277"/>
      <c r="BV120" s="277"/>
      <c r="BW120" s="277"/>
      <c r="BX120" s="277"/>
      <c r="BY120" s="277"/>
      <c r="BZ120" s="277"/>
      <c r="CA120" s="277"/>
      <c r="CB120" s="277"/>
      <c r="CC120" s="277"/>
      <c r="CD120" s="277"/>
      <c r="CE120" s="277"/>
      <c r="CF120" s="277"/>
      <c r="CG120" s="277"/>
      <c r="CH120" s="277"/>
      <c r="CI120" s="277"/>
      <c r="CJ120" s="277"/>
      <c r="CK120" s="277"/>
      <c r="CL120" s="277"/>
      <c r="CM120" s="277"/>
      <c r="CN120" s="277"/>
      <c r="CO120" s="277"/>
      <c r="CP120" s="277"/>
      <c r="CQ120" s="277"/>
      <c r="CR120" s="277"/>
      <c r="CS120" s="277"/>
      <c r="CT120" s="277"/>
      <c r="CU120" s="277"/>
      <c r="CV120" s="277"/>
      <c r="CW120" s="277"/>
      <c r="CX120" s="277"/>
      <c r="CY120" s="277"/>
      <c r="CZ120" s="277"/>
      <c r="DA120" s="277"/>
      <c r="DB120" s="277"/>
      <c r="DC120" s="277"/>
      <c r="DD120" s="277"/>
      <c r="DE120" s="277"/>
      <c r="DF120" s="277"/>
      <c r="DG120" s="277"/>
      <c r="DH120" s="277"/>
      <c r="DI120" s="277"/>
      <c r="DJ120" s="277"/>
      <c r="DK120" s="277"/>
      <c r="DL120" s="277"/>
      <c r="DM120" s="277"/>
      <c r="DN120" s="277"/>
      <c r="DO120" s="277"/>
      <c r="DP120" s="277"/>
      <c r="DQ120" s="277"/>
      <c r="DR120" s="277"/>
      <c r="DS120" s="277"/>
      <c r="DT120" s="277"/>
      <c r="DU120" s="277"/>
      <c r="DV120" s="277"/>
      <c r="DW120" s="277"/>
      <c r="DX120" s="277"/>
      <c r="DY120" s="277"/>
      <c r="DZ120" s="277"/>
      <c r="EA120" s="277"/>
      <c r="EB120" s="277"/>
      <c r="EC120" s="277"/>
      <c r="ED120" s="277"/>
      <c r="EE120" s="277"/>
      <c r="EF120" s="277"/>
      <c r="EG120" s="277"/>
      <c r="EH120" s="277"/>
      <c r="EI120" s="277"/>
      <c r="EJ120" s="277"/>
      <c r="EK120" s="277"/>
      <c r="EL120" s="277"/>
      <c r="EM120" s="277"/>
    </row>
    <row r="121" spans="1:143" s="4" customFormat="1" ht="12.5" customHeight="1">
      <c r="A121" s="897" t="str">
        <f t="shared" si="142"/>
        <v xml:space="preserve">Sojaschrot, schalenreich 40% RP </v>
      </c>
      <c r="B121" s="298">
        <f>IF(D121=""," ",COUNTA($D$8:D121))</f>
        <v>112</v>
      </c>
      <c r="C121" s="327"/>
      <c r="D121" s="482" t="s">
        <v>339</v>
      </c>
      <c r="E121" s="617">
        <f t="shared" si="107"/>
        <v>40</v>
      </c>
      <c r="F121" s="319"/>
      <c r="G121" s="320" t="s">
        <v>49</v>
      </c>
      <c r="H121" s="321">
        <v>890</v>
      </c>
      <c r="I121" s="321">
        <v>402</v>
      </c>
      <c r="J121" s="321">
        <f t="shared" si="133"/>
        <v>329.64</v>
      </c>
      <c r="K121" s="321">
        <v>88</v>
      </c>
      <c r="L121" s="303">
        <f t="shared" si="134"/>
        <v>12.663584</v>
      </c>
      <c r="M121" s="322">
        <f t="shared" si="116"/>
        <v>12.269616000000001</v>
      </c>
      <c r="N121" s="311">
        <f t="shared" si="117"/>
        <v>25.211645454545458</v>
      </c>
      <c r="O121" s="302">
        <f>IF(N121=" "," ",N121*0.89)</f>
        <v>22.438364454545457</v>
      </c>
      <c r="P121" s="311">
        <f t="shared" si="119"/>
        <v>11.348550000000001</v>
      </c>
      <c r="Q121" s="302">
        <f>IF(N121=" "," ",P121*(6*0.88+5.7*0.79)/12.7)</f>
        <v>8.741957846456696</v>
      </c>
      <c r="R121" s="311">
        <f t="shared" si="121"/>
        <v>16.085413636363636</v>
      </c>
      <c r="S121" s="302">
        <f>IF(N121=" "," ",R121*0.86)</f>
        <v>13.833455727272726</v>
      </c>
      <c r="T121" s="311">
        <f t="shared" si="123"/>
        <v>5.6257772727272739</v>
      </c>
      <c r="U121" s="302">
        <f t="shared" si="124"/>
        <v>4.8381684545454551</v>
      </c>
      <c r="V121" s="311">
        <v>4</v>
      </c>
      <c r="W121" s="311">
        <v>6.1</v>
      </c>
      <c r="X121" s="302">
        <f t="shared" si="135"/>
        <v>2.44</v>
      </c>
      <c r="Y121" s="302">
        <f t="shared" si="131"/>
        <v>3.9649999999999999</v>
      </c>
      <c r="Z121" s="311">
        <f>IF($I121=0," ",IF(I121&gt;459.99,$Z$108*$I$108/$I121,$Z$112*$I$112/$I121))</f>
        <v>3.1094208955223883</v>
      </c>
      <c r="AA121" s="322">
        <v>0.13</v>
      </c>
      <c r="AB121" s="323">
        <v>20.2</v>
      </c>
      <c r="AC121" s="311">
        <f t="shared" si="126"/>
        <v>5.4181590909090911</v>
      </c>
      <c r="AD121" s="311">
        <f t="shared" si="136"/>
        <v>4.7679800000000006</v>
      </c>
      <c r="AE121" s="321">
        <v>24</v>
      </c>
      <c r="AF121" s="321">
        <v>52</v>
      </c>
      <c r="AG121" s="321">
        <v>84</v>
      </c>
      <c r="AH121" s="321">
        <v>62</v>
      </c>
      <c r="AI121" s="612">
        <f t="shared" si="141"/>
        <v>218.60000000000002</v>
      </c>
      <c r="AJ121" s="321">
        <f t="shared" si="127"/>
        <v>262</v>
      </c>
      <c r="AK121" s="610">
        <f t="shared" si="137"/>
        <v>12.96</v>
      </c>
      <c r="AL121" s="610">
        <f t="shared" si="138"/>
        <v>12</v>
      </c>
      <c r="AM121" s="610">
        <f t="shared" si="139"/>
        <v>0.96</v>
      </c>
      <c r="AN121" s="321"/>
      <c r="AO121" s="321"/>
      <c r="AP121" s="321"/>
      <c r="AQ121" s="612">
        <f t="shared" si="87"/>
        <v>446.6827843283582</v>
      </c>
      <c r="AR121" s="847">
        <f t="shared" si="102"/>
        <v>1236.6778555223882</v>
      </c>
      <c r="AS121" s="321">
        <f t="shared" si="140"/>
        <v>206.32</v>
      </c>
      <c r="AT121" s="321">
        <f t="shared" si="108"/>
        <v>314</v>
      </c>
      <c r="AU121" s="852">
        <v>0.84</v>
      </c>
      <c r="AV121" s="852">
        <v>0.82</v>
      </c>
      <c r="AW121" s="852">
        <v>0.47</v>
      </c>
      <c r="AX121" s="852">
        <v>0.75</v>
      </c>
      <c r="AY121" s="852">
        <v>0.88</v>
      </c>
      <c r="AZ121" s="322">
        <f>1.4*H121/1000</f>
        <v>1.246</v>
      </c>
      <c r="BA121" s="1111">
        <f>$BA$117/$H$117*H121*K121/$K$117</f>
        <v>151.95121951219511</v>
      </c>
      <c r="BB121" s="1111">
        <f>$BB$117/$H$117*H121*K121/$K$117</f>
        <v>227.92682926829269</v>
      </c>
      <c r="BC121" s="303">
        <f t="shared" si="83"/>
        <v>-3.8071803200000001</v>
      </c>
      <c r="BD121" s="277"/>
      <c r="BE121" s="277"/>
      <c r="BF121" s="277"/>
      <c r="BG121" s="277"/>
      <c r="BH121" s="277"/>
      <c r="BI121" s="277"/>
      <c r="BJ121" s="277"/>
      <c r="BK121" s="277"/>
      <c r="BL121" s="277"/>
      <c r="BM121" s="277"/>
      <c r="BN121" s="277"/>
      <c r="BO121" s="277"/>
      <c r="BP121" s="277"/>
      <c r="BQ121" s="277"/>
      <c r="BR121" s="277"/>
      <c r="BS121" s="277"/>
      <c r="BT121" s="277"/>
      <c r="BU121" s="277"/>
      <c r="BV121" s="277"/>
      <c r="BW121" s="277"/>
      <c r="BX121" s="277"/>
      <c r="BY121" s="277"/>
      <c r="BZ121" s="277"/>
      <c r="CA121" s="277"/>
      <c r="CB121" s="277"/>
      <c r="CC121" s="277"/>
      <c r="CD121" s="277"/>
      <c r="CE121" s="277"/>
      <c r="CF121" s="277"/>
      <c r="CG121" s="277"/>
      <c r="CH121" s="277"/>
      <c r="CI121" s="277"/>
      <c r="CJ121" s="277"/>
      <c r="CK121" s="277"/>
      <c r="CL121" s="277"/>
      <c r="CM121" s="277"/>
      <c r="CN121" s="277"/>
      <c r="CO121" s="277"/>
      <c r="CP121" s="277"/>
      <c r="CQ121" s="277"/>
      <c r="CR121" s="277"/>
      <c r="CS121" s="277"/>
      <c r="CT121" s="277"/>
      <c r="CU121" s="277"/>
      <c r="CV121" s="277"/>
      <c r="CW121" s="277"/>
      <c r="CX121" s="277"/>
      <c r="CY121" s="277"/>
      <c r="CZ121" s="277"/>
      <c r="DA121" s="277"/>
      <c r="DB121" s="277"/>
      <c r="DC121" s="277"/>
      <c r="DD121" s="277"/>
      <c r="DE121" s="277"/>
      <c r="DF121" s="277"/>
      <c r="DG121" s="277"/>
      <c r="DH121" s="277"/>
      <c r="DI121" s="277"/>
      <c r="DJ121" s="277"/>
      <c r="DK121" s="277"/>
      <c r="DL121" s="277"/>
      <c r="DM121" s="277"/>
      <c r="DN121" s="277"/>
      <c r="DO121" s="277"/>
      <c r="DP121" s="277"/>
      <c r="DQ121" s="277"/>
      <c r="DR121" s="277"/>
      <c r="DS121" s="277"/>
      <c r="DT121" s="277"/>
      <c r="DU121" s="277"/>
      <c r="DV121" s="277"/>
      <c r="DW121" s="277"/>
      <c r="DX121" s="277"/>
      <c r="DY121" s="277"/>
      <c r="DZ121" s="277"/>
      <c r="EA121" s="277"/>
      <c r="EB121" s="277"/>
      <c r="EC121" s="277"/>
      <c r="ED121" s="277"/>
      <c r="EE121" s="277"/>
      <c r="EF121" s="277"/>
      <c r="EG121" s="277"/>
      <c r="EH121" s="277"/>
      <c r="EI121" s="277"/>
      <c r="EJ121" s="277"/>
      <c r="EK121" s="277"/>
      <c r="EL121" s="277"/>
      <c r="EM121" s="277"/>
    </row>
    <row r="122" spans="1:143" s="4" customFormat="1" ht="12.5" customHeight="1">
      <c r="A122" s="897" t="str">
        <f t="shared" ref="A122:A127" si="143">IF(E122=" ",D122&amp;" "&amp;F122,D122&amp;" "&amp;E122&amp;"% RP "&amp;F122)</f>
        <v xml:space="preserve">Sonnenblumenkuchen kaltgepresst 22% RP </v>
      </c>
      <c r="B122" s="298">
        <f>IF(D122=""," ",COUNTA($D$8:D122))</f>
        <v>113</v>
      </c>
      <c r="C122" s="327"/>
      <c r="D122" s="482" t="s">
        <v>678</v>
      </c>
      <c r="E122" s="617">
        <f t="shared" ref="E122:E127" si="144">IF(I122=0," ",ROUND(I122/10,0))</f>
        <v>22</v>
      </c>
      <c r="F122" s="319"/>
      <c r="G122" s="320"/>
      <c r="H122" s="321">
        <v>880</v>
      </c>
      <c r="I122" s="321">
        <v>219</v>
      </c>
      <c r="J122" s="321">
        <f>I122*0.8</f>
        <v>175.20000000000002</v>
      </c>
      <c r="K122" s="321">
        <v>278</v>
      </c>
      <c r="L122" s="303">
        <f t="shared" si="134"/>
        <v>10.943737999999998</v>
      </c>
      <c r="M122" s="322">
        <f t="shared" si="116"/>
        <v>5.7709539999999997</v>
      </c>
      <c r="N122" s="311">
        <f>IF(I122=0," ",(I122/H122*880*0.0277+2.37)/880*H122)</f>
        <v>8.4362999999999992</v>
      </c>
      <c r="O122" s="302">
        <f>IF(N122=" "," ",N122*0.79)</f>
        <v>6.6646769999999993</v>
      </c>
      <c r="P122" s="311">
        <f>IF(N122=" "," ",(I122/H122*880*0.0252+1.38)/880*H122)</f>
        <v>6.8988000000000005</v>
      </c>
      <c r="Q122" s="302">
        <f>IF(N122=" "," ",P122*(4.5*0.88+3.6*0.77)/8.1)</f>
        <v>5.7336693333333342</v>
      </c>
      <c r="R122" s="311">
        <f>IF(N122=" "," ",(I122/H122*880*0.034+2.11)/880*H122)</f>
        <v>9.5560000000000009</v>
      </c>
      <c r="S122" s="302">
        <f>IF(N122=" "," ",R122*0.8)</f>
        <v>7.6448000000000009</v>
      </c>
      <c r="T122" s="311">
        <f>IF(N122=" "," ",(I122/H122*880*0.0102+1.32)/880*H122)</f>
        <v>3.5537999999999998</v>
      </c>
      <c r="U122" s="302">
        <f>IF(N122=" "," ",T122*0.83)</f>
        <v>2.9496539999999998</v>
      </c>
      <c r="V122" s="311">
        <v>3.4</v>
      </c>
      <c r="W122" s="311">
        <v>8.3000000000000007</v>
      </c>
      <c r="X122" s="302">
        <f>W122*0.35</f>
        <v>2.9050000000000002</v>
      </c>
      <c r="Y122" s="302">
        <f>IF($I122=0," ",W122*0.65)</f>
        <v>5.3950000000000005</v>
      </c>
      <c r="Z122" s="311">
        <v>4.9000000000000004</v>
      </c>
      <c r="AA122" s="322">
        <v>0.2</v>
      </c>
      <c r="AB122" s="323">
        <v>11.8</v>
      </c>
      <c r="AC122" s="311">
        <f>IF($I122=""," ",($I122/H122*880*0.0121+0.68)/880*H122)</f>
        <v>3.3298999999999999</v>
      </c>
      <c r="AD122" s="311">
        <f>AC122*0.88</f>
        <v>2.9303119999999998</v>
      </c>
      <c r="AE122" s="321">
        <v>122</v>
      </c>
      <c r="AF122" s="321">
        <f>0</f>
        <v>0</v>
      </c>
      <c r="AG122" s="321">
        <v>77</v>
      </c>
      <c r="AH122" s="321">
        <v>60</v>
      </c>
      <c r="AI122" s="612">
        <f t="shared" si="141"/>
        <v>188.4199999999999</v>
      </c>
      <c r="AJ122" s="321">
        <f t="shared" si="127"/>
        <v>201</v>
      </c>
      <c r="AK122" s="311">
        <v>23</v>
      </c>
      <c r="AL122" s="311">
        <f t="shared" ref="AL122:AL127" si="145">AK122*$AL$104/$AK$104</f>
        <v>21.413793103448274</v>
      </c>
      <c r="AM122" s="311">
        <f t="shared" ref="AM122:AM127" si="146">AK122*$AM$104/$AK$104</f>
        <v>1.5862068965517242</v>
      </c>
      <c r="AN122" s="321"/>
      <c r="AO122" s="321"/>
      <c r="AP122" s="321"/>
      <c r="AQ122" s="612">
        <f t="shared" si="87"/>
        <v>285.81159999999994</v>
      </c>
      <c r="AR122" s="847">
        <f t="shared" si="102"/>
        <v>854.11599999999999</v>
      </c>
      <c r="AS122" s="321">
        <f t="shared" si="140"/>
        <v>129.18</v>
      </c>
      <c r="AT122" s="321">
        <f t="shared" si="108"/>
        <v>201</v>
      </c>
      <c r="AU122" s="852">
        <v>0.64</v>
      </c>
      <c r="AV122" s="852">
        <v>0.8</v>
      </c>
      <c r="AW122" s="852">
        <v>0.69</v>
      </c>
      <c r="AX122" s="852">
        <v>0.25</v>
      </c>
      <c r="AY122" s="852">
        <v>0.68</v>
      </c>
      <c r="AZ122" s="303">
        <f>1.1*H122/1000</f>
        <v>0.96800000000000008</v>
      </c>
      <c r="BA122" s="1111">
        <v>250</v>
      </c>
      <c r="BB122" s="1111">
        <v>348</v>
      </c>
      <c r="BC122" s="303">
        <f t="shared" si="83"/>
        <v>-6.6072035799999993</v>
      </c>
      <c r="BD122" s="277"/>
      <c r="BE122" s="277"/>
      <c r="BF122" s="277"/>
      <c r="BG122" s="277"/>
      <c r="BH122" s="277"/>
      <c r="BI122" s="277"/>
      <c r="BJ122" s="277"/>
      <c r="BK122" s="277"/>
      <c r="BL122" s="277"/>
      <c r="BM122" s="277"/>
      <c r="BN122" s="277"/>
      <c r="BO122" s="277"/>
      <c r="BP122" s="277"/>
      <c r="BQ122" s="277"/>
      <c r="BR122" s="277"/>
      <c r="BS122" s="277"/>
      <c r="BT122" s="277"/>
      <c r="BU122" s="277"/>
      <c r="BV122" s="277"/>
      <c r="BW122" s="277"/>
      <c r="BX122" s="277"/>
      <c r="BY122" s="277"/>
      <c r="BZ122" s="277"/>
      <c r="CA122" s="277"/>
      <c r="CB122" s="277"/>
      <c r="CC122" s="277"/>
      <c r="CD122" s="277"/>
      <c r="CE122" s="277"/>
      <c r="CF122" s="277"/>
      <c r="CG122" s="277"/>
      <c r="CH122" s="277"/>
      <c r="CI122" s="277"/>
      <c r="CJ122" s="277"/>
      <c r="CK122" s="277"/>
      <c r="CL122" s="277"/>
      <c r="CM122" s="277"/>
      <c r="CN122" s="277"/>
      <c r="CO122" s="277"/>
      <c r="CP122" s="277"/>
      <c r="CQ122" s="277"/>
      <c r="CR122" s="277"/>
      <c r="CS122" s="277"/>
      <c r="CT122" s="277"/>
      <c r="CU122" s="277"/>
      <c r="CV122" s="277"/>
      <c r="CW122" s="277"/>
      <c r="CX122" s="277"/>
      <c r="CY122" s="277"/>
      <c r="CZ122" s="277"/>
      <c r="DA122" s="277"/>
      <c r="DB122" s="277"/>
      <c r="DC122" s="277"/>
      <c r="DD122" s="277"/>
      <c r="DE122" s="277"/>
      <c r="DF122" s="277"/>
      <c r="DG122" s="277"/>
      <c r="DH122" s="277"/>
      <c r="DI122" s="277"/>
      <c r="DJ122" s="277"/>
      <c r="DK122" s="277"/>
      <c r="DL122" s="277"/>
      <c r="DM122" s="277"/>
      <c r="DN122" s="277"/>
      <c r="DO122" s="277"/>
      <c r="DP122" s="277"/>
      <c r="DQ122" s="277"/>
      <c r="DR122" s="277"/>
      <c r="DS122" s="277"/>
      <c r="DT122" s="277"/>
      <c r="DU122" s="277"/>
      <c r="DV122" s="277"/>
      <c r="DW122" s="277"/>
      <c r="DX122" s="277"/>
      <c r="DY122" s="277"/>
      <c r="DZ122" s="277"/>
      <c r="EA122" s="277"/>
      <c r="EB122" s="277"/>
      <c r="EC122" s="277"/>
      <c r="ED122" s="277"/>
      <c r="EE122" s="277"/>
      <c r="EF122" s="277"/>
      <c r="EG122" s="277"/>
      <c r="EH122" s="277"/>
      <c r="EI122" s="277"/>
      <c r="EJ122" s="277"/>
      <c r="EK122" s="277"/>
      <c r="EL122" s="277"/>
      <c r="EM122" s="277"/>
    </row>
    <row r="123" spans="1:143" s="4" customFormat="1" ht="12.5" customHeight="1">
      <c r="A123" s="897" t="str">
        <f t="shared" si="143"/>
        <v>Sonnenblumenschrot teilgeschält 34% RP DLG 2014</v>
      </c>
      <c r="B123" s="298">
        <f>IF(D123=""," ",COUNTA($D$8:D123))</f>
        <v>114</v>
      </c>
      <c r="C123" s="327"/>
      <c r="D123" s="482" t="s">
        <v>679</v>
      </c>
      <c r="E123" s="617">
        <f t="shared" si="144"/>
        <v>34</v>
      </c>
      <c r="F123" s="319" t="s">
        <v>969</v>
      </c>
      <c r="G123" s="320"/>
      <c r="H123" s="321">
        <v>890</v>
      </c>
      <c r="I123" s="321">
        <v>338</v>
      </c>
      <c r="J123" s="321">
        <f>I123*0.77</f>
        <v>260.26</v>
      </c>
      <c r="K123" s="321">
        <v>200</v>
      </c>
      <c r="L123" s="303">
        <f t="shared" si="134"/>
        <v>9.8604830000000003</v>
      </c>
      <c r="M123" s="322">
        <f t="shared" si="116"/>
        <v>7.7643250000000013</v>
      </c>
      <c r="N123" s="311">
        <f>IF(I123=0," ",(I123/H123*880*0.0283+2.1)/880*H123)</f>
        <v>11.689263636363636</v>
      </c>
      <c r="O123" s="302">
        <f>IF(N123=" "," ",N123*0.77)</f>
        <v>9.0007330000000003</v>
      </c>
      <c r="P123" s="311">
        <f>IF(N123=" "," ",(I123/H123*880*0.0356+0.82)/880*H123)</f>
        <v>12.862118181818181</v>
      </c>
      <c r="Q123" s="302">
        <f>IF(N123=" "," ",P123*(7.1*0.76+5.3*0.81)/12.4)</f>
        <v>10.050085730938415</v>
      </c>
      <c r="R123" s="311">
        <f>IF(N123=" "," ",(I123/H123*880*0.032+1.34)/880*H123)</f>
        <v>12.171227272727272</v>
      </c>
      <c r="S123" s="302">
        <f>IF(N123=" "," ",R123*0.77)</f>
        <v>9.3718450000000004</v>
      </c>
      <c r="T123" s="311">
        <f>IF(N123=" "," ",(I123/H123*880*0.0138-0.22)/880*H123)</f>
        <v>4.4419000000000004</v>
      </c>
      <c r="U123" s="302">
        <f>IF(N123=" "," ",T123*0.8)</f>
        <v>3.5535200000000007</v>
      </c>
      <c r="V123" s="311">
        <v>3.9</v>
      </c>
      <c r="W123" s="311">
        <v>9.8000000000000007</v>
      </c>
      <c r="X123" s="302">
        <f>W123*0.4</f>
        <v>3.9200000000000004</v>
      </c>
      <c r="Y123" s="302">
        <f>IF($I123=0," ",W123*0.65)</f>
        <v>6.370000000000001</v>
      </c>
      <c r="Z123" s="311">
        <v>4.9000000000000004</v>
      </c>
      <c r="AA123" s="322">
        <v>0.2</v>
      </c>
      <c r="AB123" s="323">
        <v>13.2</v>
      </c>
      <c r="AC123" s="311">
        <f>IF($I123=""," ",($I123/H123*880*0.0192+0.75)/880*H123)</f>
        <v>7.248122727272726</v>
      </c>
      <c r="AD123" s="311">
        <f>AC123*0.76</f>
        <v>5.508573272727272</v>
      </c>
      <c r="AE123" s="321">
        <v>21</v>
      </c>
      <c r="AF123" s="321">
        <f>0</f>
        <v>0</v>
      </c>
      <c r="AG123" s="321">
        <v>58</v>
      </c>
      <c r="AH123" s="321">
        <v>57</v>
      </c>
      <c r="AI123" s="612">
        <f t="shared" si="141"/>
        <v>210.59000000000003</v>
      </c>
      <c r="AJ123" s="321">
        <f t="shared" si="127"/>
        <v>274</v>
      </c>
      <c r="AK123" s="311">
        <v>14.1</v>
      </c>
      <c r="AL123" s="311">
        <f t="shared" si="145"/>
        <v>13.127586206896551</v>
      </c>
      <c r="AM123" s="311">
        <f t="shared" si="146"/>
        <v>0.97241379310344822</v>
      </c>
      <c r="AN123" s="321"/>
      <c r="AO123" s="321"/>
      <c r="AP123" s="321"/>
      <c r="AQ123" s="612">
        <f t="shared" si="87"/>
        <v>153.46846363636365</v>
      </c>
      <c r="AR123" s="847">
        <f t="shared" si="102"/>
        <v>1161.6860000000001</v>
      </c>
      <c r="AS123" s="321">
        <f t="shared" si="140"/>
        <v>178.32000000000002</v>
      </c>
      <c r="AT123" s="321">
        <f t="shared" si="108"/>
        <v>274</v>
      </c>
      <c r="AU123" s="852">
        <v>0.65</v>
      </c>
      <c r="AV123" s="852">
        <v>0.77</v>
      </c>
      <c r="AW123" s="852">
        <v>0.6</v>
      </c>
      <c r="AX123" s="852">
        <v>0.25</v>
      </c>
      <c r="AY123" s="852">
        <v>0.68</v>
      </c>
      <c r="AZ123" s="303">
        <f>2.2*H123/1000</f>
        <v>1.9580000000000002</v>
      </c>
      <c r="BA123" s="321">
        <v>240</v>
      </c>
      <c r="BB123" s="321">
        <v>320</v>
      </c>
      <c r="BC123" s="303">
        <f t="shared" si="83"/>
        <v>-10.84104275</v>
      </c>
      <c r="BD123" s="277"/>
      <c r="BE123" s="277"/>
      <c r="BF123" s="277"/>
      <c r="BG123" s="277"/>
      <c r="BH123" s="277"/>
      <c r="BI123" s="277"/>
      <c r="BJ123" s="277"/>
      <c r="BK123" s="277"/>
      <c r="BL123" s="277"/>
      <c r="BM123" s="277"/>
      <c r="BN123" s="277"/>
      <c r="BO123" s="277"/>
      <c r="BP123" s="277"/>
      <c r="BQ123" s="277"/>
      <c r="BR123" s="277"/>
      <c r="BS123" s="277"/>
      <c r="BT123" s="277"/>
      <c r="BU123" s="277"/>
      <c r="BV123" s="277"/>
      <c r="BW123" s="277"/>
      <c r="BX123" s="277"/>
      <c r="BY123" s="277"/>
      <c r="BZ123" s="277"/>
      <c r="CA123" s="277"/>
      <c r="CB123" s="277"/>
      <c r="CC123" s="277"/>
      <c r="CD123" s="277"/>
      <c r="CE123" s="277"/>
      <c r="CF123" s="277"/>
      <c r="CG123" s="277"/>
      <c r="CH123" s="277"/>
      <c r="CI123" s="277"/>
      <c r="CJ123" s="277"/>
      <c r="CK123" s="277"/>
      <c r="CL123" s="277"/>
      <c r="CM123" s="277"/>
      <c r="CN123" s="277"/>
      <c r="CO123" s="277"/>
      <c r="CP123" s="277"/>
      <c r="CQ123" s="277"/>
      <c r="CR123" s="277"/>
      <c r="CS123" s="277"/>
      <c r="CT123" s="277"/>
      <c r="CU123" s="277"/>
      <c r="CV123" s="277"/>
      <c r="CW123" s="277"/>
      <c r="CX123" s="277"/>
      <c r="CY123" s="277"/>
      <c r="CZ123" s="277"/>
      <c r="DA123" s="277"/>
      <c r="DB123" s="277"/>
      <c r="DC123" s="277"/>
      <c r="DD123" s="277"/>
      <c r="DE123" s="277"/>
      <c r="DF123" s="277"/>
      <c r="DG123" s="277"/>
      <c r="DH123" s="277"/>
      <c r="DI123" s="277"/>
      <c r="DJ123" s="277"/>
      <c r="DK123" s="277"/>
      <c r="DL123" s="277"/>
      <c r="DM123" s="277"/>
      <c r="DN123" s="277"/>
      <c r="DO123" s="277"/>
      <c r="DP123" s="277"/>
      <c r="DQ123" s="277"/>
      <c r="DR123" s="277"/>
      <c r="DS123" s="277"/>
      <c r="DT123" s="277"/>
      <c r="DU123" s="277"/>
      <c r="DV123" s="277"/>
      <c r="DW123" s="277"/>
      <c r="DX123" s="277"/>
      <c r="DY123" s="277"/>
      <c r="DZ123" s="277"/>
      <c r="EA123" s="277"/>
      <c r="EB123" s="277"/>
      <c r="EC123" s="277"/>
      <c r="ED123" s="277"/>
      <c r="EE123" s="277"/>
      <c r="EF123" s="277"/>
      <c r="EG123" s="277"/>
      <c r="EH123" s="277"/>
      <c r="EI123" s="277"/>
      <c r="EJ123" s="277"/>
      <c r="EK123" s="277"/>
      <c r="EL123" s="277"/>
      <c r="EM123" s="277"/>
    </row>
    <row r="124" spans="1:143" s="3" customFormat="1" ht="12.5" customHeight="1">
      <c r="A124" s="897" t="str">
        <f t="shared" si="143"/>
        <v xml:space="preserve">Trockenschlempe 29% RP </v>
      </c>
      <c r="B124" s="298">
        <f>IF(D124=""," ",COUNTA($D$8:D124))</f>
        <v>115</v>
      </c>
      <c r="C124" s="327"/>
      <c r="D124" s="479" t="s">
        <v>682</v>
      </c>
      <c r="E124" s="617">
        <f t="shared" si="144"/>
        <v>29</v>
      </c>
      <c r="F124" s="299"/>
      <c r="G124" s="299"/>
      <c r="H124" s="275">
        <v>930</v>
      </c>
      <c r="I124" s="275">
        <f>314*$H$124/1000</f>
        <v>292.02</v>
      </c>
      <c r="J124" s="275">
        <f>I124*0.72</f>
        <v>210.25439999999998</v>
      </c>
      <c r="K124" s="275">
        <f>75*$H$124/1000</f>
        <v>69.75</v>
      </c>
      <c r="L124" s="303">
        <f t="shared" si="134"/>
        <v>11.897758770000001</v>
      </c>
      <c r="M124" s="322">
        <f t="shared" si="116"/>
        <v>13.898262240000003</v>
      </c>
      <c r="N124" s="311">
        <f>7.1*$H$124/1000</f>
        <v>6.6029999999999998</v>
      </c>
      <c r="O124" s="302">
        <f>IF(N124=" "," ",N124*0.69)</f>
        <v>4.5560699999999992</v>
      </c>
      <c r="P124" s="311">
        <f>IF(N124=" "," ",(I124/H124*880*0.0327+0.39)/880*H124)</f>
        <v>9.9612130909090908</v>
      </c>
      <c r="Q124" s="302">
        <f>IF(N124=" "," ",P124*(5.6*0.67+7*0.7)/12.6)</f>
        <v>6.8400329890909086</v>
      </c>
      <c r="R124" s="311">
        <f>IF(N124=" "," ",(I124/H124*880*0.0243+1.95)/880*H124)</f>
        <v>9.156881454545454</v>
      </c>
      <c r="S124" s="302">
        <f>IF(N124=" "," ",R124*0.69)</f>
        <v>6.3182482036363625</v>
      </c>
      <c r="T124" s="311">
        <f>IF(N124=" "," ",(I124/H124*880*0.011-0.26)/880*H124)</f>
        <v>2.9374472727272725</v>
      </c>
      <c r="U124" s="302">
        <f>IF(N124=" "," ",T124*0.86)</f>
        <v>2.5262046545454542</v>
      </c>
      <c r="V124" s="274">
        <f>0.9*$H$124/1000</f>
        <v>0.83699999999999997</v>
      </c>
      <c r="W124" s="274">
        <f>8.7*$H$124/1000</f>
        <v>8.0909999999999993</v>
      </c>
      <c r="X124" s="301">
        <f>W124*0.65</f>
        <v>5.25915</v>
      </c>
      <c r="Y124" s="301">
        <f>W124*0.65</f>
        <v>5.25915</v>
      </c>
      <c r="Z124" s="274">
        <f>3.1*$H$124/1000</f>
        <v>2.883</v>
      </c>
      <c r="AA124" s="303">
        <f>5.7*$H$124/1000</f>
        <v>5.3010000000000002</v>
      </c>
      <c r="AB124" s="276">
        <f>14.8*$H$124/1000</f>
        <v>13.763999999999999</v>
      </c>
      <c r="AC124" s="311">
        <f>IF($I124=""," ",($I124/H124*880*0.0139+0.34)/880*H124)</f>
        <v>4.4183961818181823</v>
      </c>
      <c r="AD124" s="311">
        <f>AC124*0.67</f>
        <v>2.9603254418181821</v>
      </c>
      <c r="AE124" s="321">
        <f>91*$H$124/1000</f>
        <v>84.63</v>
      </c>
      <c r="AF124" s="321">
        <f>33*$H$124/1000</f>
        <v>30.69</v>
      </c>
      <c r="AG124" s="321">
        <f>45*$H$124/1000</f>
        <v>41.85</v>
      </c>
      <c r="AH124" s="321">
        <f>60*$H$124/1000</f>
        <v>55.8</v>
      </c>
      <c r="AI124" s="612">
        <f t="shared" si="141"/>
        <v>239.72610000000006</v>
      </c>
      <c r="AJ124" s="321">
        <f>$H124-($AE124+$AF124+$AH124+$I124+$K124)</f>
        <v>397.11</v>
      </c>
      <c r="AK124" s="610">
        <f>32.1/880*H124</f>
        <v>33.923863636363635</v>
      </c>
      <c r="AL124" s="311">
        <f t="shared" si="145"/>
        <v>31.584286833855796</v>
      </c>
      <c r="AM124" s="311">
        <f t="shared" si="146"/>
        <v>2.3395768025078367</v>
      </c>
      <c r="AN124" s="321"/>
      <c r="AO124" s="321"/>
      <c r="AP124" s="321"/>
      <c r="AQ124" s="612">
        <f t="shared" si="87"/>
        <v>217.78222981818183</v>
      </c>
      <c r="AR124" s="847">
        <f t="shared" si="102"/>
        <v>887.02098000000001</v>
      </c>
      <c r="AS124" s="321">
        <f t="shared" si="140"/>
        <v>238.40550000000005</v>
      </c>
      <c r="AT124" s="321">
        <f t="shared" si="108"/>
        <v>427.8</v>
      </c>
      <c r="AU124" s="852">
        <v>0.68</v>
      </c>
      <c r="AV124" s="852">
        <v>0.72</v>
      </c>
      <c r="AW124" s="852">
        <v>0.85</v>
      </c>
      <c r="AX124" s="852">
        <v>0.41</v>
      </c>
      <c r="AY124" s="852">
        <v>0.66</v>
      </c>
      <c r="AZ124" s="303">
        <f>1.7</f>
        <v>1.7</v>
      </c>
      <c r="BA124" s="321">
        <f>193*H124/1000</f>
        <v>179.49</v>
      </c>
      <c r="BB124" s="321">
        <f>335*H124/1000</f>
        <v>311.55</v>
      </c>
      <c r="BC124" s="303">
        <f t="shared" si="83"/>
        <v>4.2244214352000018</v>
      </c>
      <c r="BD124" s="277"/>
      <c r="BE124" s="277"/>
      <c r="BF124" s="277"/>
      <c r="BG124" s="277"/>
      <c r="BH124" s="277"/>
      <c r="BI124" s="277"/>
      <c r="BJ124" s="277"/>
      <c r="BK124" s="277"/>
      <c r="BL124" s="277"/>
      <c r="BM124" s="277"/>
      <c r="BN124" s="277"/>
      <c r="BO124" s="277"/>
      <c r="BP124" s="277"/>
      <c r="BQ124" s="277"/>
      <c r="BR124" s="277"/>
      <c r="BS124" s="277"/>
      <c r="BT124" s="277"/>
      <c r="BU124" s="277"/>
      <c r="BV124" s="277"/>
      <c r="BW124" s="277"/>
      <c r="BX124" s="277"/>
      <c r="BY124" s="277"/>
      <c r="BZ124" s="277"/>
      <c r="CA124" s="277"/>
      <c r="CB124" s="277"/>
      <c r="CC124" s="277"/>
      <c r="CD124" s="277"/>
      <c r="CE124" s="277"/>
      <c r="CF124" s="277"/>
      <c r="CG124" s="277"/>
      <c r="CH124" s="277"/>
      <c r="CI124" s="277"/>
      <c r="CJ124" s="277"/>
      <c r="CK124" s="277"/>
      <c r="CL124" s="277"/>
      <c r="CM124" s="277"/>
      <c r="CN124" s="277"/>
      <c r="CO124" s="277"/>
      <c r="CP124" s="277"/>
      <c r="CQ124" s="277"/>
      <c r="CR124" s="277"/>
      <c r="CS124" s="277"/>
      <c r="CT124" s="277"/>
      <c r="CU124" s="277"/>
      <c r="CV124" s="277"/>
      <c r="CW124" s="277"/>
      <c r="CX124" s="277"/>
      <c r="CY124" s="277"/>
      <c r="CZ124" s="277"/>
      <c r="DA124" s="277"/>
      <c r="DB124" s="277"/>
      <c r="DC124" s="277"/>
      <c r="DD124" s="277"/>
      <c r="DE124" s="277"/>
      <c r="DF124" s="277"/>
      <c r="DG124" s="277"/>
      <c r="DH124" s="277"/>
      <c r="DI124" s="277"/>
      <c r="DJ124" s="277"/>
      <c r="DK124" s="277"/>
      <c r="DL124" s="277"/>
      <c r="DM124" s="277"/>
      <c r="DN124" s="277"/>
      <c r="DO124" s="277"/>
      <c r="DP124" s="277"/>
      <c r="DQ124" s="277"/>
      <c r="DR124" s="277"/>
      <c r="DS124" s="277"/>
      <c r="DT124" s="277"/>
      <c r="DU124" s="277"/>
      <c r="DV124" s="277"/>
      <c r="DW124" s="277"/>
      <c r="DX124" s="277"/>
      <c r="DY124" s="277"/>
      <c r="DZ124" s="277"/>
      <c r="EA124" s="277"/>
      <c r="EB124" s="277"/>
      <c r="EC124" s="277"/>
      <c r="ED124" s="277"/>
      <c r="EE124" s="277"/>
      <c r="EF124" s="277"/>
      <c r="EG124" s="277"/>
      <c r="EH124" s="277"/>
      <c r="EI124" s="277"/>
      <c r="EJ124" s="277"/>
      <c r="EK124" s="277"/>
      <c r="EL124" s="277"/>
      <c r="EM124" s="277"/>
    </row>
    <row r="125" spans="1:143" s="3" customFormat="1" ht="12.5" customHeight="1">
      <c r="A125" s="897" t="str">
        <f t="shared" si="143"/>
        <v>Trockenschlempe Gerste getrocknet 26% RP DLG 2014</v>
      </c>
      <c r="B125" s="298">
        <f>IF(D125=""," ",COUNTA($D$8:D125))</f>
        <v>116</v>
      </c>
      <c r="C125" s="327"/>
      <c r="D125" s="479" t="s">
        <v>1006</v>
      </c>
      <c r="E125" s="617">
        <f t="shared" si="144"/>
        <v>26</v>
      </c>
      <c r="F125" s="319" t="s">
        <v>969</v>
      </c>
      <c r="G125" s="299"/>
      <c r="H125" s="275">
        <v>910</v>
      </c>
      <c r="I125" s="275">
        <v>255</v>
      </c>
      <c r="J125" s="275">
        <f>I125*0.78</f>
        <v>198.9</v>
      </c>
      <c r="K125" s="275">
        <v>113</v>
      </c>
      <c r="L125" s="303">
        <f t="shared" si="134"/>
        <v>11.033172</v>
      </c>
      <c r="M125" s="322">
        <f t="shared" si="116"/>
        <v>11.53679</v>
      </c>
      <c r="N125" s="311">
        <v>8.1999999999999993</v>
      </c>
      <c r="O125" s="302">
        <f>IF(N125=" "," ",N125*0.82)</f>
        <v>6.7239999999999993</v>
      </c>
      <c r="P125" s="311">
        <f>3.7+4.7</f>
        <v>8.4</v>
      </c>
      <c r="Q125" s="302">
        <f>IF(N125=" "," ",P125*(4.1*0.89+5.2*0.77)/9.3)</f>
        <v>6.9123870967741929</v>
      </c>
      <c r="R125" s="311">
        <v>9.1</v>
      </c>
      <c r="S125" s="302">
        <f>IF(N125=" "," ",R125*0.82)</f>
        <v>7.4619999999999989</v>
      </c>
      <c r="T125" s="311">
        <v>2.5</v>
      </c>
      <c r="U125" s="302">
        <f>IF(N125=" "," ",T125*0.83)</f>
        <v>2.0749999999999997</v>
      </c>
      <c r="V125" s="274">
        <v>1.2</v>
      </c>
      <c r="W125" s="274">
        <v>6.6</v>
      </c>
      <c r="X125" s="301">
        <f>W125*0.6</f>
        <v>3.9599999999999995</v>
      </c>
      <c r="Y125" s="301">
        <f>W125*0.65</f>
        <v>4.29</v>
      </c>
      <c r="Z125" s="274">
        <v>2</v>
      </c>
      <c r="AA125" s="303">
        <v>4</v>
      </c>
      <c r="AB125" s="276">
        <f>14.8*$H$124/1000</f>
        <v>13.763999999999999</v>
      </c>
      <c r="AC125" s="311">
        <v>3.7</v>
      </c>
      <c r="AD125" s="311">
        <f>AC125*0.89</f>
        <v>3.2930000000000001</v>
      </c>
      <c r="AE125" s="321">
        <v>64</v>
      </c>
      <c r="AF125" s="321">
        <v>39</v>
      </c>
      <c r="AG125" s="321">
        <v>16</v>
      </c>
      <c r="AH125" s="321">
        <v>50</v>
      </c>
      <c r="AI125" s="612">
        <f t="shared" si="141"/>
        <v>257.38000000000005</v>
      </c>
      <c r="AJ125" s="321">
        <f>$H125-($AE125+$AF125+$AH125+$I125+$K125)</f>
        <v>389</v>
      </c>
      <c r="AK125" s="610">
        <f>32.1/880*H125</f>
        <v>33.194318181818183</v>
      </c>
      <c r="AL125" s="311">
        <f t="shared" si="145"/>
        <v>30.905054858934172</v>
      </c>
      <c r="AM125" s="311">
        <f t="shared" si="146"/>
        <v>2.2892633228840125</v>
      </c>
      <c r="AN125" s="321"/>
      <c r="AO125" s="321"/>
      <c r="AP125" s="321"/>
      <c r="AQ125" s="612">
        <f t="shared" si="87"/>
        <v>213.66400000000007</v>
      </c>
      <c r="AR125" s="847">
        <f t="shared" si="102"/>
        <v>758.86799999999994</v>
      </c>
      <c r="AS125" s="321">
        <f t="shared" si="140"/>
        <v>273.81</v>
      </c>
      <c r="AT125" s="321">
        <f t="shared" si="108"/>
        <v>428</v>
      </c>
      <c r="AU125" s="852">
        <v>0.66</v>
      </c>
      <c r="AV125" s="852">
        <v>0.78</v>
      </c>
      <c r="AW125" s="852">
        <v>0.88</v>
      </c>
      <c r="AX125" s="852">
        <v>0.41</v>
      </c>
      <c r="AY125" s="852">
        <v>0.66</v>
      </c>
      <c r="AZ125" s="303">
        <f>1.7</f>
        <v>1.7</v>
      </c>
      <c r="BA125" s="321">
        <v>170</v>
      </c>
      <c r="BB125" s="321">
        <v>476</v>
      </c>
      <c r="BC125" s="303">
        <f t="shared" si="83"/>
        <v>0.75385669999999916</v>
      </c>
      <c r="BD125" s="277"/>
      <c r="BE125" s="277"/>
      <c r="BF125" s="277"/>
      <c r="BG125" s="277"/>
      <c r="BH125" s="277"/>
      <c r="BI125" s="277"/>
      <c r="BJ125" s="277"/>
      <c r="BK125" s="277"/>
      <c r="BL125" s="277"/>
      <c r="BM125" s="277"/>
      <c r="BN125" s="277"/>
      <c r="BO125" s="277"/>
      <c r="BP125" s="277"/>
      <c r="BQ125" s="277"/>
      <c r="BR125" s="277"/>
      <c r="BS125" s="277"/>
      <c r="BT125" s="277"/>
      <c r="BU125" s="277"/>
      <c r="BV125" s="277"/>
      <c r="BW125" s="277"/>
      <c r="BX125" s="277"/>
      <c r="BY125" s="277"/>
      <c r="BZ125" s="277"/>
      <c r="CA125" s="277"/>
      <c r="CB125" s="277"/>
      <c r="CC125" s="277"/>
      <c r="CD125" s="277"/>
      <c r="CE125" s="277"/>
      <c r="CF125" s="277"/>
      <c r="CG125" s="277"/>
      <c r="CH125" s="277"/>
      <c r="CI125" s="277"/>
      <c r="CJ125" s="277"/>
      <c r="CK125" s="277"/>
      <c r="CL125" s="277"/>
      <c r="CM125" s="277"/>
      <c r="CN125" s="277"/>
      <c r="CO125" s="277"/>
      <c r="CP125" s="277"/>
      <c r="CQ125" s="277"/>
      <c r="CR125" s="277"/>
      <c r="CS125" s="277"/>
      <c r="CT125" s="277"/>
      <c r="CU125" s="277"/>
      <c r="CV125" s="277"/>
      <c r="CW125" s="277"/>
      <c r="CX125" s="277"/>
      <c r="CY125" s="277"/>
      <c r="CZ125" s="277"/>
      <c r="DA125" s="277"/>
      <c r="DB125" s="277"/>
      <c r="DC125" s="277"/>
      <c r="DD125" s="277"/>
      <c r="DE125" s="277"/>
      <c r="DF125" s="277"/>
      <c r="DG125" s="277"/>
      <c r="DH125" s="277"/>
      <c r="DI125" s="277"/>
      <c r="DJ125" s="277"/>
      <c r="DK125" s="277"/>
      <c r="DL125" s="277"/>
      <c r="DM125" s="277"/>
      <c r="DN125" s="277"/>
      <c r="DO125" s="277"/>
      <c r="DP125" s="277"/>
      <c r="DQ125" s="277"/>
      <c r="DR125" s="277"/>
      <c r="DS125" s="277"/>
      <c r="DT125" s="277"/>
      <c r="DU125" s="277"/>
      <c r="DV125" s="277"/>
      <c r="DW125" s="277"/>
      <c r="DX125" s="277"/>
      <c r="DY125" s="277"/>
      <c r="DZ125" s="277"/>
      <c r="EA125" s="277"/>
      <c r="EB125" s="277"/>
      <c r="EC125" s="277"/>
      <c r="ED125" s="277"/>
      <c r="EE125" s="277"/>
      <c r="EF125" s="277"/>
      <c r="EG125" s="277"/>
      <c r="EH125" s="277"/>
      <c r="EI125" s="277"/>
      <c r="EJ125" s="277"/>
      <c r="EK125" s="277"/>
      <c r="EL125" s="277"/>
      <c r="EM125" s="277"/>
    </row>
    <row r="126" spans="1:143" s="3" customFormat="1" ht="12.5" customHeight="1">
      <c r="A126" s="897" t="str">
        <f t="shared" si="143"/>
        <v>Trockenschlempe Weizen getrocknet 35% RP DLG 2014</v>
      </c>
      <c r="B126" s="298">
        <f>IF(D126=""," ",COUNTA($D$8:D126))</f>
        <v>117</v>
      </c>
      <c r="C126" s="327"/>
      <c r="D126" s="479" t="s">
        <v>1005</v>
      </c>
      <c r="E126" s="617">
        <f t="shared" si="144"/>
        <v>35</v>
      </c>
      <c r="F126" s="319" t="s">
        <v>969</v>
      </c>
      <c r="G126" s="299"/>
      <c r="H126" s="275">
        <v>920</v>
      </c>
      <c r="I126" s="275">
        <v>351</v>
      </c>
      <c r="J126" s="275">
        <f>I126*0.72</f>
        <v>252.72</v>
      </c>
      <c r="K126" s="275">
        <v>69</v>
      </c>
      <c r="L126" s="303">
        <f>I126*0.0205*AV126+0.0398*AW126*AE126+0.0173*AF126+0.016*$AG126+0.0147*AI126</f>
        <v>11.453660000000001</v>
      </c>
      <c r="M126" s="322">
        <f>IF(I126=""," ",$I126*0.021503+0.032497*$AE126+0.016309*$AF126+0.014701*$AJ126-0.021071*$K126)</f>
        <v>13.731179000000001</v>
      </c>
      <c r="N126" s="311">
        <v>7.1</v>
      </c>
      <c r="O126" s="302">
        <f>IF(N126=" "," ",N126*0.69)</f>
        <v>4.8989999999999991</v>
      </c>
      <c r="P126" s="311">
        <f>5.1+6.3</f>
        <v>11.399999999999999</v>
      </c>
      <c r="Q126" s="302">
        <f>IF(N126=" "," ",P126*(5.5*0.67+6.9*0.7)/12.4)</f>
        <v>7.8283064516129031</v>
      </c>
      <c r="R126" s="311">
        <v>10.1</v>
      </c>
      <c r="S126" s="302">
        <f>IF(N126=" "," ",R126*0.69)</f>
        <v>6.9689999999999994</v>
      </c>
      <c r="T126" s="311">
        <v>3.2</v>
      </c>
      <c r="U126" s="302">
        <f>IF(N126=" "," ",T126*0.86)</f>
        <v>2.7520000000000002</v>
      </c>
      <c r="V126" s="274">
        <v>1.2</v>
      </c>
      <c r="W126" s="274">
        <v>8.3000000000000007</v>
      </c>
      <c r="X126" s="301">
        <f>W126*0.7</f>
        <v>5.8100000000000005</v>
      </c>
      <c r="Y126" s="301">
        <f>X126</f>
        <v>5.8100000000000005</v>
      </c>
      <c r="Z126" s="274">
        <v>2.8</v>
      </c>
      <c r="AA126" s="303">
        <v>8.1</v>
      </c>
      <c r="AB126" s="276">
        <f>14.8*$H$124/1000</f>
        <v>13.763999999999999</v>
      </c>
      <c r="AC126" s="311">
        <v>5.0999999999999996</v>
      </c>
      <c r="AD126" s="311">
        <f>AC126*0.67</f>
        <v>3.4169999999999998</v>
      </c>
      <c r="AE126" s="321">
        <v>56</v>
      </c>
      <c r="AF126" s="321">
        <v>25</v>
      </c>
      <c r="AG126" s="321">
        <v>32</v>
      </c>
      <c r="AH126" s="321">
        <v>51</v>
      </c>
      <c r="AI126" s="612">
        <f>(H126-AH126)*AU126-I126*AV126-AE126*AW126-AF126-AG126</f>
        <v>233.60000000000002</v>
      </c>
      <c r="AJ126" s="321">
        <f>$H126-($AE126+$AF126+$AH126+$I126+$K126)</f>
        <v>368</v>
      </c>
      <c r="AK126" s="610">
        <f>32.1/880*H126</f>
        <v>33.559090909090905</v>
      </c>
      <c r="AL126" s="311">
        <f t="shared" si="145"/>
        <v>31.244670846394982</v>
      </c>
      <c r="AM126" s="311">
        <f t="shared" si="146"/>
        <v>2.3144200626959242</v>
      </c>
      <c r="AN126" s="321"/>
      <c r="AO126" s="321"/>
      <c r="AP126" s="321"/>
      <c r="AQ126" s="612">
        <f>IF(H126="","",50*V126+83*Z126+26*AB126+44*AA126-59*W126-13*P126-28*AZ126)</f>
        <v>321.16399999999982</v>
      </c>
      <c r="AR126" s="847">
        <f>IF(H126="","",V126/1000*20140+Z126/1000*48600+1100/440*I126)</f>
        <v>1037.748</v>
      </c>
      <c r="AS126" s="321">
        <f>AX126*K126+AY126*AT126-AF126-AG126</f>
        <v>230.67000000000002</v>
      </c>
      <c r="AT126" s="321">
        <f t="shared" si="108"/>
        <v>393</v>
      </c>
      <c r="AU126" s="852">
        <v>0.68</v>
      </c>
      <c r="AV126" s="852">
        <v>0.72</v>
      </c>
      <c r="AW126" s="852">
        <v>0.85</v>
      </c>
      <c r="AX126" s="852">
        <v>0.41</v>
      </c>
      <c r="AY126" s="852">
        <v>0.66</v>
      </c>
      <c r="AZ126" s="303">
        <f>1.7</f>
        <v>1.7</v>
      </c>
      <c r="BA126" s="321">
        <v>121</v>
      </c>
      <c r="BB126" s="321">
        <v>292</v>
      </c>
      <c r="BC126" s="303">
        <f t="shared" si="83"/>
        <v>0.82176067000000019</v>
      </c>
      <c r="BD126" s="277"/>
      <c r="BE126" s="277"/>
      <c r="BF126" s="277"/>
      <c r="BG126" s="277"/>
      <c r="BH126" s="277"/>
      <c r="BI126" s="277"/>
      <c r="BJ126" s="277"/>
      <c r="BK126" s="277"/>
      <c r="BL126" s="277"/>
      <c r="BM126" s="277"/>
      <c r="BN126" s="277"/>
      <c r="BO126" s="277"/>
      <c r="BP126" s="277"/>
      <c r="BQ126" s="277"/>
      <c r="BR126" s="277"/>
      <c r="BS126" s="277"/>
      <c r="BT126" s="277"/>
      <c r="BU126" s="277"/>
      <c r="BV126" s="277"/>
      <c r="BW126" s="277"/>
      <c r="BX126" s="277"/>
      <c r="BY126" s="277"/>
      <c r="BZ126" s="277"/>
      <c r="CA126" s="277"/>
      <c r="CB126" s="277"/>
      <c r="CC126" s="277"/>
      <c r="CD126" s="277"/>
      <c r="CE126" s="277"/>
      <c r="CF126" s="277"/>
      <c r="CG126" s="277"/>
      <c r="CH126" s="277"/>
      <c r="CI126" s="277"/>
      <c r="CJ126" s="277"/>
      <c r="CK126" s="277"/>
      <c r="CL126" s="277"/>
      <c r="CM126" s="277"/>
      <c r="CN126" s="277"/>
      <c r="CO126" s="277"/>
      <c r="CP126" s="277"/>
      <c r="CQ126" s="277"/>
      <c r="CR126" s="277"/>
      <c r="CS126" s="277"/>
      <c r="CT126" s="277"/>
      <c r="CU126" s="277"/>
      <c r="CV126" s="277"/>
      <c r="CW126" s="277"/>
      <c r="CX126" s="277"/>
      <c r="CY126" s="277"/>
      <c r="CZ126" s="277"/>
      <c r="DA126" s="277"/>
      <c r="DB126" s="277"/>
      <c r="DC126" s="277"/>
      <c r="DD126" s="277"/>
      <c r="DE126" s="277"/>
      <c r="DF126" s="277"/>
      <c r="DG126" s="277"/>
      <c r="DH126" s="277"/>
      <c r="DI126" s="277"/>
      <c r="DJ126" s="277"/>
      <c r="DK126" s="277"/>
      <c r="DL126" s="277"/>
      <c r="DM126" s="277"/>
      <c r="DN126" s="277"/>
      <c r="DO126" s="277"/>
      <c r="DP126" s="277"/>
      <c r="DQ126" s="277"/>
      <c r="DR126" s="277"/>
      <c r="DS126" s="277"/>
      <c r="DT126" s="277"/>
      <c r="DU126" s="277"/>
      <c r="DV126" s="277"/>
      <c r="DW126" s="277"/>
      <c r="DX126" s="277"/>
      <c r="DY126" s="277"/>
      <c r="DZ126" s="277"/>
      <c r="EA126" s="277"/>
      <c r="EB126" s="277"/>
      <c r="EC126" s="277"/>
      <c r="ED126" s="277"/>
      <c r="EE126" s="277"/>
      <c r="EF126" s="277"/>
      <c r="EG126" s="277"/>
      <c r="EH126" s="277"/>
      <c r="EI126" s="277"/>
      <c r="EJ126" s="277"/>
      <c r="EK126" s="277"/>
      <c r="EL126" s="277"/>
      <c r="EM126" s="277"/>
    </row>
    <row r="127" spans="1:143" s="3" customFormat="1" ht="12.5" customHeight="1">
      <c r="A127" s="897" t="str">
        <f t="shared" si="143"/>
        <v>Trockenschlempe Weizen, Gerste getrocknet 34% RP DLG 2014</v>
      </c>
      <c r="B127" s="298">
        <f>IF(D127=""," ",COUNTA($D$8:D127))</f>
        <v>118</v>
      </c>
      <c r="C127" s="327"/>
      <c r="D127" s="479" t="s">
        <v>1007</v>
      </c>
      <c r="E127" s="617">
        <f t="shared" si="144"/>
        <v>34</v>
      </c>
      <c r="F127" s="319" t="s">
        <v>969</v>
      </c>
      <c r="G127" s="299"/>
      <c r="H127" s="275">
        <v>920</v>
      </c>
      <c r="I127" s="275">
        <v>340</v>
      </c>
      <c r="J127" s="275">
        <f>I127*0.72</f>
        <v>244.79999999999998</v>
      </c>
      <c r="K127" s="275">
        <v>68</v>
      </c>
      <c r="L127" s="303">
        <f>I127*0.0205*AV127+0.0398*AW127*AE127+0.0173*AF127+0.016*$AG127+0.0147*AI127</f>
        <v>11.547073000000001</v>
      </c>
      <c r="M127" s="322">
        <f>IF(I127=""," ",$I127*0.021503+0.032497*$AE127+0.016309*$AF127+0.014701*$AJ127-0.021071*$K127)</f>
        <v>13.802</v>
      </c>
      <c r="N127" s="311">
        <v>7.1</v>
      </c>
      <c r="O127" s="302">
        <f>IF(N127=" "," ",N127*0.69)</f>
        <v>4.8989999999999991</v>
      </c>
      <c r="P127" s="311">
        <f>5.2+6.4</f>
        <v>11.600000000000001</v>
      </c>
      <c r="Q127" s="302">
        <f>IF(N127=" "," ",P127*(5.6*0.67+7*0.7)/12.6)</f>
        <v>7.9653333333333345</v>
      </c>
      <c r="R127" s="311">
        <v>10.199999999999999</v>
      </c>
      <c r="S127" s="302">
        <f>IF(N127=" "," ",R127*0.69)</f>
        <v>7.0379999999999994</v>
      </c>
      <c r="T127" s="311">
        <v>3.2</v>
      </c>
      <c r="U127" s="302">
        <f>IF(N127=" "," ",T127*0.86)</f>
        <v>2.7520000000000002</v>
      </c>
      <c r="V127" s="274">
        <v>1.2</v>
      </c>
      <c r="W127" s="274">
        <v>8.1999999999999993</v>
      </c>
      <c r="X127" s="301">
        <f>W127*0.65</f>
        <v>5.33</v>
      </c>
      <c r="Y127" s="301">
        <f>W127*0.65</f>
        <v>5.33</v>
      </c>
      <c r="Z127" s="274">
        <v>2.8</v>
      </c>
      <c r="AA127" s="303">
        <v>8.1</v>
      </c>
      <c r="AB127" s="276">
        <f>14.8*$H$124/1000</f>
        <v>13.763999999999999</v>
      </c>
      <c r="AC127" s="311">
        <v>5.2</v>
      </c>
      <c r="AD127" s="311">
        <f>AC127*0.67</f>
        <v>3.4840000000000004</v>
      </c>
      <c r="AE127" s="321">
        <v>63</v>
      </c>
      <c r="AF127" s="321">
        <v>25</v>
      </c>
      <c r="AG127" s="321">
        <v>32</v>
      </c>
      <c r="AH127" s="321">
        <v>52</v>
      </c>
      <c r="AI127" s="612">
        <f>(H127-AH127)*AU127-I127*AV127-AE127*AW127-AF127-AG127</f>
        <v>234.89000000000004</v>
      </c>
      <c r="AJ127" s="321">
        <f>$H127-($AE127+$AF127+$AH127+$I127+$K127)</f>
        <v>372</v>
      </c>
      <c r="AK127" s="610">
        <f>32.1/880*H127</f>
        <v>33.559090909090905</v>
      </c>
      <c r="AL127" s="311">
        <f t="shared" si="145"/>
        <v>31.244670846394982</v>
      </c>
      <c r="AM127" s="311">
        <f t="shared" si="146"/>
        <v>2.3144200626959242</v>
      </c>
      <c r="AN127" s="321"/>
      <c r="AO127" s="321"/>
      <c r="AP127" s="321"/>
      <c r="AQ127" s="612">
        <f>IF(H127="","",50*V127+83*Z127+26*AB127+44*AA127-59*W127-13*P127-28*AZ127)</f>
        <v>324.46399999999988</v>
      </c>
      <c r="AR127" s="847">
        <f>IF(H127="","",V127/1000*20140+Z127/1000*48600+1100/440*I127)</f>
        <v>1010.248</v>
      </c>
      <c r="AS127" s="321">
        <f>AX127*K127+AY127*AT127-AF127-AG127</f>
        <v>232.90000000000003</v>
      </c>
      <c r="AT127" s="321">
        <f t="shared" si="108"/>
        <v>397</v>
      </c>
      <c r="AU127" s="852">
        <v>0.68</v>
      </c>
      <c r="AV127" s="852">
        <v>0.72</v>
      </c>
      <c r="AW127" s="852">
        <v>0.85</v>
      </c>
      <c r="AX127" s="852">
        <v>0.41</v>
      </c>
      <c r="AY127" s="852">
        <v>0.66</v>
      </c>
      <c r="AZ127" s="303">
        <f>1.7</f>
        <v>1.7</v>
      </c>
      <c r="BA127" s="321">
        <v>121</v>
      </c>
      <c r="BB127" s="321">
        <v>292</v>
      </c>
      <c r="BC127" s="303">
        <f t="shared" si="83"/>
        <v>1.6074599999999997</v>
      </c>
      <c r="BD127" s="277"/>
      <c r="BE127" s="277"/>
      <c r="BF127" s="277"/>
      <c r="BG127" s="277"/>
      <c r="BH127" s="277"/>
      <c r="BI127" s="277"/>
      <c r="BJ127" s="277"/>
      <c r="BK127" s="277"/>
      <c r="BL127" s="277"/>
      <c r="BM127" s="277"/>
      <c r="BN127" s="277"/>
      <c r="BO127" s="277"/>
      <c r="BP127" s="277"/>
      <c r="BQ127" s="277"/>
      <c r="BR127" s="277"/>
      <c r="BS127" s="277"/>
      <c r="BT127" s="277"/>
      <c r="BU127" s="277"/>
      <c r="BV127" s="277"/>
      <c r="BW127" s="277"/>
      <c r="BX127" s="277"/>
      <c r="BY127" s="277"/>
      <c r="BZ127" s="277"/>
      <c r="CA127" s="277"/>
      <c r="CB127" s="277"/>
      <c r="CC127" s="277"/>
      <c r="CD127" s="277"/>
      <c r="CE127" s="277"/>
      <c r="CF127" s="277"/>
      <c r="CG127" s="277"/>
      <c r="CH127" s="277"/>
      <c r="CI127" s="277"/>
      <c r="CJ127" s="277"/>
      <c r="CK127" s="277"/>
      <c r="CL127" s="277"/>
      <c r="CM127" s="277"/>
      <c r="CN127" s="277"/>
      <c r="CO127" s="277"/>
      <c r="CP127" s="277"/>
      <c r="CQ127" s="277"/>
      <c r="CR127" s="277"/>
      <c r="CS127" s="277"/>
      <c r="CT127" s="277"/>
      <c r="CU127" s="277"/>
      <c r="CV127" s="277"/>
      <c r="CW127" s="277"/>
      <c r="CX127" s="277"/>
      <c r="CY127" s="277"/>
      <c r="CZ127" s="277"/>
      <c r="DA127" s="277"/>
      <c r="DB127" s="277"/>
      <c r="DC127" s="277"/>
      <c r="DD127" s="277"/>
      <c r="DE127" s="277"/>
      <c r="DF127" s="277"/>
      <c r="DG127" s="277"/>
      <c r="DH127" s="277"/>
      <c r="DI127" s="277"/>
      <c r="DJ127" s="277"/>
      <c r="DK127" s="277"/>
      <c r="DL127" s="277"/>
      <c r="DM127" s="277"/>
      <c r="DN127" s="277"/>
      <c r="DO127" s="277"/>
      <c r="DP127" s="277"/>
      <c r="DQ127" s="277"/>
      <c r="DR127" s="277"/>
      <c r="DS127" s="277"/>
      <c r="DT127" s="277"/>
      <c r="DU127" s="277"/>
      <c r="DV127" s="277"/>
      <c r="DW127" s="277"/>
      <c r="DX127" s="277"/>
      <c r="DY127" s="277"/>
      <c r="DZ127" s="277"/>
      <c r="EA127" s="277"/>
      <c r="EB127" s="277"/>
      <c r="EC127" s="277"/>
      <c r="ED127" s="277"/>
      <c r="EE127" s="277"/>
      <c r="EF127" s="277"/>
      <c r="EG127" s="277"/>
      <c r="EH127" s="277"/>
      <c r="EI127" s="277"/>
      <c r="EJ127" s="277"/>
      <c r="EK127" s="277"/>
      <c r="EL127" s="277"/>
      <c r="EM127" s="277"/>
    </row>
    <row r="128" spans="1:143" s="4" customFormat="1" ht="5" customHeight="1">
      <c r="A128" s="897" t="str">
        <f t="shared" si="142"/>
        <v xml:space="preserve"> </v>
      </c>
      <c r="B128" s="298" t="str">
        <f>IF(D128=""," ",COUNTA($D$8:D128))</f>
        <v xml:space="preserve"> </v>
      </c>
      <c r="C128" s="327"/>
      <c r="D128" s="482"/>
      <c r="E128" s="617" t="str">
        <f t="shared" si="107"/>
        <v xml:space="preserve"> </v>
      </c>
      <c r="F128" s="319"/>
      <c r="G128" s="320"/>
      <c r="H128" s="321"/>
      <c r="I128" s="321"/>
      <c r="J128" s="321"/>
      <c r="K128" s="321"/>
      <c r="L128" s="303"/>
      <c r="M128" s="322"/>
      <c r="N128" s="311"/>
      <c r="O128" s="302"/>
      <c r="P128" s="311"/>
      <c r="Q128" s="302"/>
      <c r="R128" s="311"/>
      <c r="S128" s="302"/>
      <c r="T128" s="311"/>
      <c r="U128" s="302"/>
      <c r="V128" s="311"/>
      <c r="W128" s="311"/>
      <c r="X128" s="302"/>
      <c r="Y128" s="302"/>
      <c r="Z128" s="311"/>
      <c r="AA128" s="322"/>
      <c r="AB128" s="323"/>
      <c r="AC128" s="311"/>
      <c r="AD128" s="311"/>
      <c r="AE128" s="321"/>
      <c r="AF128" s="321"/>
      <c r="AG128" s="321"/>
      <c r="AH128" s="321"/>
      <c r="AI128" s="321"/>
      <c r="AJ128" s="321"/>
      <c r="AK128" s="311"/>
      <c r="AL128" s="311"/>
      <c r="AM128" s="311"/>
      <c r="AN128" s="321"/>
      <c r="AO128" s="321"/>
      <c r="AP128" s="321"/>
      <c r="AQ128" s="321"/>
      <c r="AR128" s="321"/>
      <c r="AS128" s="321"/>
      <c r="AT128" s="321" t="str">
        <f t="shared" si="108"/>
        <v xml:space="preserve"> </v>
      </c>
      <c r="AU128" s="852"/>
      <c r="AV128" s="852"/>
      <c r="AW128" s="852"/>
      <c r="AX128" s="852"/>
      <c r="AY128" s="852"/>
      <c r="AZ128" s="322"/>
      <c r="BA128" s="321"/>
      <c r="BB128" s="321"/>
      <c r="BC128" s="303" t="str">
        <f t="shared" si="83"/>
        <v/>
      </c>
      <c r="BD128" s="277"/>
      <c r="BE128" s="277"/>
      <c r="BF128" s="277"/>
      <c r="BG128" s="277"/>
      <c r="BH128" s="277"/>
      <c r="BI128" s="277"/>
      <c r="BJ128" s="277"/>
      <c r="BK128" s="277"/>
      <c r="BL128" s="277"/>
      <c r="BM128" s="277"/>
      <c r="BN128" s="277"/>
      <c r="BO128" s="277"/>
      <c r="BP128" s="277"/>
      <c r="BQ128" s="277"/>
      <c r="BR128" s="277"/>
      <c r="BS128" s="277"/>
      <c r="BT128" s="277"/>
      <c r="BU128" s="277"/>
      <c r="BV128" s="277"/>
      <c r="BW128" s="277"/>
      <c r="BX128" s="277"/>
      <c r="BY128" s="277"/>
      <c r="BZ128" s="277"/>
      <c r="CA128" s="277"/>
      <c r="CB128" s="277"/>
      <c r="CC128" s="277"/>
      <c r="CD128" s="277"/>
      <c r="CE128" s="277"/>
      <c r="CF128" s="277"/>
      <c r="CG128" s="277"/>
      <c r="CH128" s="277"/>
      <c r="CI128" s="277"/>
      <c r="CJ128" s="277"/>
      <c r="CK128" s="277"/>
      <c r="CL128" s="277"/>
      <c r="CM128" s="277"/>
      <c r="CN128" s="277"/>
      <c r="CO128" s="277"/>
      <c r="CP128" s="277"/>
      <c r="CQ128" s="277"/>
      <c r="CR128" s="277"/>
      <c r="CS128" s="277"/>
      <c r="CT128" s="277"/>
      <c r="CU128" s="277"/>
      <c r="CV128" s="277"/>
      <c r="CW128" s="277"/>
      <c r="CX128" s="277"/>
      <c r="CY128" s="277"/>
      <c r="CZ128" s="277"/>
      <c r="DA128" s="277"/>
      <c r="DB128" s="277"/>
      <c r="DC128" s="277"/>
      <c r="DD128" s="277"/>
      <c r="DE128" s="277"/>
      <c r="DF128" s="277"/>
      <c r="DG128" s="277"/>
      <c r="DH128" s="277"/>
      <c r="DI128" s="277"/>
      <c r="DJ128" s="277"/>
      <c r="DK128" s="277"/>
      <c r="DL128" s="277"/>
      <c r="DM128" s="277"/>
      <c r="DN128" s="277"/>
      <c r="DO128" s="277"/>
      <c r="DP128" s="277"/>
      <c r="DQ128" s="277"/>
      <c r="DR128" s="277"/>
      <c r="DS128" s="277"/>
      <c r="DT128" s="277"/>
      <c r="DU128" s="277"/>
      <c r="DV128" s="277"/>
      <c r="DW128" s="277"/>
      <c r="DX128" s="277"/>
      <c r="DY128" s="277"/>
      <c r="DZ128" s="277"/>
      <c r="EA128" s="277"/>
      <c r="EB128" s="277"/>
      <c r="EC128" s="277"/>
      <c r="ED128" s="277"/>
      <c r="EE128" s="277"/>
      <c r="EF128" s="277"/>
      <c r="EG128" s="277"/>
      <c r="EH128" s="277"/>
      <c r="EI128" s="277"/>
      <c r="EJ128" s="277"/>
      <c r="EK128" s="277"/>
      <c r="EL128" s="277"/>
      <c r="EM128" s="277"/>
    </row>
    <row r="129" spans="1:143" s="3" customFormat="1" ht="12.5" customHeight="1">
      <c r="A129" s="897" t="str">
        <f t="shared" si="142"/>
        <v xml:space="preserve">Aminosäuren*** </v>
      </c>
      <c r="B129" s="601">
        <f>IF(D129=""," ",COUNTA($D$8:D129))</f>
        <v>119</v>
      </c>
      <c r="C129" s="327"/>
      <c r="D129" s="1053" t="s">
        <v>70</v>
      </c>
      <c r="E129" s="617" t="str">
        <f t="shared" si="107"/>
        <v xml:space="preserve"> </v>
      </c>
      <c r="F129" s="299"/>
      <c r="G129" s="300"/>
      <c r="H129" s="275"/>
      <c r="I129" s="275"/>
      <c r="J129" s="275"/>
      <c r="K129" s="275"/>
      <c r="L129" s="303"/>
      <c r="M129" s="322"/>
      <c r="N129" s="274"/>
      <c r="O129" s="301"/>
      <c r="P129" s="274"/>
      <c r="Q129" s="301"/>
      <c r="R129" s="274"/>
      <c r="S129" s="301"/>
      <c r="T129" s="274"/>
      <c r="U129" s="301"/>
      <c r="V129" s="274"/>
      <c r="W129" s="274"/>
      <c r="X129" s="301"/>
      <c r="Y129" s="301"/>
      <c r="Z129" s="274"/>
      <c r="AA129" s="303"/>
      <c r="AB129" s="276"/>
      <c r="AC129" s="311"/>
      <c r="AD129" s="311"/>
      <c r="AE129" s="321"/>
      <c r="AF129" s="321"/>
      <c r="AG129" s="321"/>
      <c r="AH129" s="321"/>
      <c r="AI129" s="321"/>
      <c r="AJ129" s="321"/>
      <c r="AK129" s="311"/>
      <c r="AL129" s="311"/>
      <c r="AM129" s="311"/>
      <c r="AN129" s="321"/>
      <c r="AO129" s="321"/>
      <c r="AP129" s="321"/>
      <c r="AQ129" s="321"/>
      <c r="AR129" s="321"/>
      <c r="AS129" s="321"/>
      <c r="AT129" s="321" t="str">
        <f t="shared" si="108"/>
        <v xml:space="preserve"> </v>
      </c>
      <c r="AU129" s="852"/>
      <c r="AV129" s="852"/>
      <c r="AW129" s="852"/>
      <c r="AX129" s="852"/>
      <c r="AY129" s="852"/>
      <c r="AZ129" s="303"/>
      <c r="BA129" s="321"/>
      <c r="BB129" s="321"/>
      <c r="BC129" s="303" t="str">
        <f t="shared" si="83"/>
        <v/>
      </c>
      <c r="BD129" s="277"/>
      <c r="BE129" s="277"/>
      <c r="BF129" s="277"/>
      <c r="BG129" s="277"/>
      <c r="BH129" s="277"/>
      <c r="BI129" s="277"/>
      <c r="BJ129" s="277"/>
      <c r="BK129" s="277"/>
      <c r="BL129" s="277"/>
      <c r="BM129" s="277"/>
      <c r="BN129" s="277"/>
      <c r="BO129" s="277"/>
      <c r="BP129" s="277"/>
      <c r="BQ129" s="277"/>
      <c r="BR129" s="277"/>
      <c r="BS129" s="277"/>
      <c r="BT129" s="277"/>
      <c r="BU129" s="277"/>
      <c r="BV129" s="277"/>
      <c r="BW129" s="277"/>
      <c r="BX129" s="277"/>
      <c r="BY129" s="277"/>
      <c r="BZ129" s="277"/>
      <c r="CA129" s="277"/>
      <c r="CB129" s="277"/>
      <c r="CC129" s="277"/>
      <c r="CD129" s="277"/>
      <c r="CE129" s="277"/>
      <c r="CF129" s="277"/>
      <c r="CG129" s="277"/>
      <c r="CH129" s="277"/>
      <c r="CI129" s="277"/>
      <c r="CJ129" s="277"/>
      <c r="CK129" s="277"/>
      <c r="CL129" s="277"/>
      <c r="CM129" s="277"/>
      <c r="CN129" s="277"/>
      <c r="CO129" s="277"/>
      <c r="CP129" s="277"/>
      <c r="CQ129" s="277"/>
      <c r="CR129" s="277"/>
      <c r="CS129" s="277"/>
      <c r="CT129" s="277"/>
      <c r="CU129" s="277"/>
      <c r="CV129" s="277"/>
      <c r="CW129" s="277"/>
      <c r="CX129" s="277"/>
      <c r="CY129" s="277"/>
      <c r="CZ129" s="277"/>
      <c r="DA129" s="277"/>
      <c r="DB129" s="277"/>
      <c r="DC129" s="277"/>
      <c r="DD129" s="277"/>
      <c r="DE129" s="277"/>
      <c r="DF129" s="277"/>
      <c r="DG129" s="277"/>
      <c r="DH129" s="277"/>
      <c r="DI129" s="277"/>
      <c r="DJ129" s="277"/>
      <c r="DK129" s="277"/>
      <c r="DL129" s="277"/>
      <c r="DM129" s="277"/>
      <c r="DN129" s="277"/>
      <c r="DO129" s="277"/>
      <c r="DP129" s="277"/>
      <c r="DQ129" s="277"/>
      <c r="DR129" s="277"/>
      <c r="DS129" s="277"/>
      <c r="DT129" s="277"/>
      <c r="DU129" s="277"/>
      <c r="DV129" s="277"/>
      <c r="DW129" s="277"/>
      <c r="DX129" s="277"/>
      <c r="DY129" s="277"/>
      <c r="DZ129" s="277"/>
      <c r="EA129" s="277"/>
      <c r="EB129" s="277"/>
      <c r="EC129" s="277"/>
      <c r="ED129" s="277"/>
      <c r="EE129" s="277"/>
      <c r="EF129" s="277"/>
      <c r="EG129" s="277"/>
      <c r="EH129" s="277"/>
      <c r="EI129" s="277"/>
      <c r="EJ129" s="277"/>
      <c r="EK129" s="277"/>
      <c r="EL129" s="277"/>
      <c r="EM129" s="277"/>
    </row>
    <row r="130" spans="1:143" s="3" customFormat="1" ht="5" customHeight="1">
      <c r="A130" s="897" t="str">
        <f t="shared" si="142"/>
        <v xml:space="preserve"> </v>
      </c>
      <c r="B130" s="298" t="str">
        <f>IF(D130=""," ",COUNTA($D$8:D130))</f>
        <v xml:space="preserve"> </v>
      </c>
      <c r="C130" s="327"/>
      <c r="D130" s="969"/>
      <c r="E130" s="617" t="str">
        <f t="shared" si="107"/>
        <v xml:space="preserve"> </v>
      </c>
      <c r="F130" s="299"/>
      <c r="G130" s="300"/>
      <c r="H130" s="275"/>
      <c r="I130" s="275"/>
      <c r="J130" s="275"/>
      <c r="K130" s="275"/>
      <c r="L130" s="303"/>
      <c r="M130" s="322"/>
      <c r="N130" s="274"/>
      <c r="O130" s="301"/>
      <c r="P130" s="274"/>
      <c r="Q130" s="301"/>
      <c r="R130" s="274"/>
      <c r="S130" s="301"/>
      <c r="T130" s="274"/>
      <c r="U130" s="301"/>
      <c r="V130" s="274"/>
      <c r="W130" s="274"/>
      <c r="X130" s="301"/>
      <c r="Y130" s="301"/>
      <c r="Z130" s="274"/>
      <c r="AA130" s="303"/>
      <c r="AB130" s="276"/>
      <c r="AC130" s="311"/>
      <c r="AD130" s="311"/>
      <c r="AE130" s="321"/>
      <c r="AF130" s="321"/>
      <c r="AG130" s="321"/>
      <c r="AH130" s="321"/>
      <c r="AI130" s="321"/>
      <c r="AJ130" s="321"/>
      <c r="AK130" s="311"/>
      <c r="AL130" s="311"/>
      <c r="AM130" s="311"/>
      <c r="AN130" s="321"/>
      <c r="AO130" s="321"/>
      <c r="AP130" s="321"/>
      <c r="AQ130" s="321"/>
      <c r="AR130" s="321"/>
      <c r="AS130" s="321"/>
      <c r="AT130" s="321" t="str">
        <f t="shared" si="108"/>
        <v xml:space="preserve"> </v>
      </c>
      <c r="AU130" s="852"/>
      <c r="AV130" s="852"/>
      <c r="AW130" s="852"/>
      <c r="AX130" s="852"/>
      <c r="AY130" s="852"/>
      <c r="AZ130" s="303"/>
      <c r="BA130" s="321"/>
      <c r="BB130" s="321"/>
      <c r="BC130" s="303" t="str">
        <f t="shared" si="83"/>
        <v/>
      </c>
      <c r="BD130" s="277"/>
      <c r="BE130" s="277"/>
      <c r="BF130" s="277"/>
      <c r="BG130" s="277"/>
      <c r="BH130" s="277"/>
      <c r="BI130" s="277"/>
      <c r="BJ130" s="277"/>
      <c r="BK130" s="277"/>
      <c r="BL130" s="277"/>
      <c r="BM130" s="277"/>
      <c r="BN130" s="277"/>
      <c r="BO130" s="277"/>
      <c r="BP130" s="277"/>
      <c r="BQ130" s="277"/>
      <c r="BR130" s="277"/>
      <c r="BS130" s="277"/>
      <c r="BT130" s="277"/>
      <c r="BU130" s="277"/>
      <c r="BV130" s="277"/>
      <c r="BW130" s="277"/>
      <c r="BX130" s="277"/>
      <c r="BY130" s="277"/>
      <c r="BZ130" s="277"/>
      <c r="CA130" s="277"/>
      <c r="CB130" s="277"/>
      <c r="CC130" s="277"/>
      <c r="CD130" s="277"/>
      <c r="CE130" s="277"/>
      <c r="CF130" s="277"/>
      <c r="CG130" s="277"/>
      <c r="CH130" s="277"/>
      <c r="CI130" s="277"/>
      <c r="CJ130" s="277"/>
      <c r="CK130" s="277"/>
      <c r="CL130" s="277"/>
      <c r="CM130" s="277"/>
      <c r="CN130" s="277"/>
      <c r="CO130" s="277"/>
      <c r="CP130" s="277"/>
      <c r="CQ130" s="277"/>
      <c r="CR130" s="277"/>
      <c r="CS130" s="277"/>
      <c r="CT130" s="277"/>
      <c r="CU130" s="277"/>
      <c r="CV130" s="277"/>
      <c r="CW130" s="277"/>
      <c r="CX130" s="277"/>
      <c r="CY130" s="277"/>
      <c r="CZ130" s="277"/>
      <c r="DA130" s="277"/>
      <c r="DB130" s="277"/>
      <c r="DC130" s="277"/>
      <c r="DD130" s="277"/>
      <c r="DE130" s="277"/>
      <c r="DF130" s="277"/>
      <c r="DG130" s="277"/>
      <c r="DH130" s="277"/>
      <c r="DI130" s="277"/>
      <c r="DJ130" s="277"/>
      <c r="DK130" s="277"/>
      <c r="DL130" s="277"/>
      <c r="DM130" s="277"/>
      <c r="DN130" s="277"/>
      <c r="DO130" s="277"/>
      <c r="DP130" s="277"/>
      <c r="DQ130" s="277"/>
      <c r="DR130" s="277"/>
      <c r="DS130" s="277"/>
      <c r="DT130" s="277"/>
      <c r="DU130" s="277"/>
      <c r="DV130" s="277"/>
      <c r="DW130" s="277"/>
      <c r="DX130" s="277"/>
      <c r="DY130" s="277"/>
      <c r="DZ130" s="277"/>
      <c r="EA130" s="277"/>
      <c r="EB130" s="277"/>
      <c r="EC130" s="277"/>
      <c r="ED130" s="277"/>
      <c r="EE130" s="277"/>
      <c r="EF130" s="277"/>
      <c r="EG130" s="277"/>
      <c r="EH130" s="277"/>
      <c r="EI130" s="277"/>
      <c r="EJ130" s="277"/>
      <c r="EK130" s="277"/>
      <c r="EL130" s="277"/>
      <c r="EM130" s="277"/>
    </row>
    <row r="131" spans="1:143" s="3" customFormat="1" ht="12.5" customHeight="1">
      <c r="A131" s="897" t="str">
        <f t="shared" si="142"/>
        <v xml:space="preserve">L-Lysin-HCL 95% RP </v>
      </c>
      <c r="B131" s="298">
        <f>IF(D131=""," ",COUNTA($D$8:D131))</f>
        <v>120</v>
      </c>
      <c r="C131" s="327"/>
      <c r="D131" s="479" t="s">
        <v>71</v>
      </c>
      <c r="E131" s="617">
        <f t="shared" si="107"/>
        <v>95</v>
      </c>
      <c r="F131" s="299"/>
      <c r="G131" s="300"/>
      <c r="H131" s="275">
        <v>995</v>
      </c>
      <c r="I131" s="275">
        <v>954</v>
      </c>
      <c r="J131" s="275">
        <f>I131</f>
        <v>954</v>
      </c>
      <c r="K131" s="275"/>
      <c r="L131" s="303">
        <f>I131*0.0205*AV131+0.0398*AW131*AE131+0.0173*AF131+0.016*$AG131+0.0147*AI131</f>
        <v>19.557000000000002</v>
      </c>
      <c r="M131" s="322">
        <f>IF(I131=""," ",$I131*0.021503+0.032497*$AE131+0.016309*$AF131+0.014701*$AJ131-0.021071*$K131)</f>
        <v>20.513862</v>
      </c>
      <c r="N131" s="274">
        <v>780</v>
      </c>
      <c r="O131" s="301">
        <v>780</v>
      </c>
      <c r="P131" s="274"/>
      <c r="Q131" s="301"/>
      <c r="R131" s="274"/>
      <c r="S131" s="301"/>
      <c r="T131" s="274"/>
      <c r="U131" s="301"/>
      <c r="V131" s="274"/>
      <c r="W131" s="274"/>
      <c r="X131" s="301"/>
      <c r="Y131" s="325"/>
      <c r="Z131" s="274"/>
      <c r="AA131" s="303"/>
      <c r="AB131" s="276"/>
      <c r="AC131" s="311"/>
      <c r="AD131" s="311"/>
      <c r="AE131" s="321"/>
      <c r="AF131" s="321"/>
      <c r="AG131" s="321"/>
      <c r="AH131" s="321"/>
      <c r="AI131" s="321"/>
      <c r="AJ131" s="321"/>
      <c r="AK131" s="311"/>
      <c r="AL131" s="311"/>
      <c r="AM131" s="311"/>
      <c r="AN131" s="321"/>
      <c r="AO131" s="321"/>
      <c r="AP131" s="321"/>
      <c r="AQ131" s="612"/>
      <c r="AR131" s="847">
        <f>IF(H131="","",V131/1000*20140+Z131/1000*48600+1100/440*I131)</f>
        <v>2385</v>
      </c>
      <c r="AS131" s="321"/>
      <c r="AT131" s="321"/>
      <c r="AU131" s="852">
        <v>1</v>
      </c>
      <c r="AV131" s="852">
        <v>1</v>
      </c>
      <c r="AW131" s="852">
        <v>1</v>
      </c>
      <c r="AX131" s="852">
        <v>1</v>
      </c>
      <c r="AY131" s="852">
        <v>1</v>
      </c>
      <c r="AZ131" s="303"/>
      <c r="BA131" s="321"/>
      <c r="BB131" s="321"/>
      <c r="BC131" s="303">
        <f t="shared" si="83"/>
        <v>-11.73688074</v>
      </c>
      <c r="BD131" s="277"/>
      <c r="BE131" s="277"/>
      <c r="BF131" s="277"/>
      <c r="BG131" s="277"/>
      <c r="BH131" s="277"/>
      <c r="BI131" s="277"/>
      <c r="BJ131" s="277"/>
      <c r="BK131" s="277"/>
      <c r="BL131" s="277"/>
      <c r="BM131" s="277"/>
      <c r="BN131" s="277"/>
      <c r="BO131" s="277"/>
      <c r="BP131" s="277"/>
      <c r="BQ131" s="277"/>
      <c r="BR131" s="277"/>
      <c r="BS131" s="277"/>
      <c r="BT131" s="277"/>
      <c r="BU131" s="277"/>
      <c r="BV131" s="277"/>
      <c r="BW131" s="277"/>
      <c r="BX131" s="277"/>
      <c r="BY131" s="277"/>
      <c r="BZ131" s="277"/>
      <c r="CA131" s="277"/>
      <c r="CB131" s="277"/>
      <c r="CC131" s="277"/>
      <c r="CD131" s="277"/>
      <c r="CE131" s="277"/>
      <c r="CF131" s="277"/>
      <c r="CG131" s="277"/>
      <c r="CH131" s="277"/>
      <c r="CI131" s="277"/>
      <c r="CJ131" s="277"/>
      <c r="CK131" s="277"/>
      <c r="CL131" s="277"/>
      <c r="CM131" s="277"/>
      <c r="CN131" s="277"/>
      <c r="CO131" s="277"/>
      <c r="CP131" s="277"/>
      <c r="CQ131" s="277"/>
      <c r="CR131" s="277"/>
      <c r="CS131" s="277"/>
      <c r="CT131" s="277"/>
      <c r="CU131" s="277"/>
      <c r="CV131" s="277"/>
      <c r="CW131" s="277"/>
      <c r="CX131" s="277"/>
      <c r="CY131" s="277"/>
      <c r="CZ131" s="277"/>
      <c r="DA131" s="277"/>
      <c r="DB131" s="277"/>
      <c r="DC131" s="277"/>
      <c r="DD131" s="277"/>
      <c r="DE131" s="277"/>
      <c r="DF131" s="277"/>
      <c r="DG131" s="277"/>
      <c r="DH131" s="277"/>
      <c r="DI131" s="277"/>
      <c r="DJ131" s="277"/>
      <c r="DK131" s="277"/>
      <c r="DL131" s="277"/>
      <c r="DM131" s="277"/>
      <c r="DN131" s="277"/>
      <c r="DO131" s="277"/>
      <c r="DP131" s="277"/>
      <c r="DQ131" s="277"/>
      <c r="DR131" s="277"/>
      <c r="DS131" s="277"/>
      <c r="DT131" s="277"/>
      <c r="DU131" s="277"/>
      <c r="DV131" s="277"/>
      <c r="DW131" s="277"/>
      <c r="DX131" s="277"/>
      <c r="DY131" s="277"/>
      <c r="DZ131" s="277"/>
      <c r="EA131" s="277"/>
      <c r="EB131" s="277"/>
      <c r="EC131" s="277"/>
      <c r="ED131" s="277"/>
      <c r="EE131" s="277"/>
      <c r="EF131" s="277"/>
      <c r="EG131" s="277"/>
      <c r="EH131" s="277"/>
      <c r="EI131" s="277"/>
      <c r="EJ131" s="277"/>
      <c r="EK131" s="277"/>
      <c r="EL131" s="277"/>
      <c r="EM131" s="277"/>
    </row>
    <row r="132" spans="1:143" s="3" customFormat="1" ht="12.5" customHeight="1">
      <c r="A132" s="897" t="str">
        <f t="shared" si="142"/>
        <v xml:space="preserve">Methionin (DL-Meth.) 58% RP </v>
      </c>
      <c r="B132" s="298">
        <f>IF(D132=""," ",COUNTA($D$8:D132))</f>
        <v>121</v>
      </c>
      <c r="C132" s="327"/>
      <c r="D132" s="479" t="s">
        <v>72</v>
      </c>
      <c r="E132" s="617">
        <f t="shared" si="107"/>
        <v>58</v>
      </c>
      <c r="F132" s="299"/>
      <c r="G132" s="300"/>
      <c r="H132" s="275">
        <v>995</v>
      </c>
      <c r="I132" s="275">
        <v>584</v>
      </c>
      <c r="J132" s="275">
        <f>I132</f>
        <v>584</v>
      </c>
      <c r="K132" s="275"/>
      <c r="L132" s="303">
        <f>I132*0.0205*AV132+0.0398*AW132*AE132+0.0173*AF132+0.016*$AG132+0.0147*AI132</f>
        <v>11.972000000000001</v>
      </c>
      <c r="M132" s="322">
        <f>IF(I132=""," ",$I132*0.021503+0.032497*$AE132+0.016309*$AF132+0.014701*$AJ132-0.021071*$K132)</f>
        <v>12.557752000000001</v>
      </c>
      <c r="N132" s="274"/>
      <c r="O132" s="301"/>
      <c r="P132" s="274">
        <v>990</v>
      </c>
      <c r="Q132" s="301">
        <v>990</v>
      </c>
      <c r="R132" s="274"/>
      <c r="S132" s="301"/>
      <c r="T132" s="274"/>
      <c r="U132" s="301"/>
      <c r="V132" s="274"/>
      <c r="W132" s="274"/>
      <c r="X132" s="301"/>
      <c r="Y132" s="301"/>
      <c r="Z132" s="274"/>
      <c r="AA132" s="303"/>
      <c r="AB132" s="276"/>
      <c r="AC132" s="274">
        <v>990</v>
      </c>
      <c r="AD132" s="301">
        <v>990</v>
      </c>
      <c r="AE132" s="321"/>
      <c r="AF132" s="321"/>
      <c r="AG132" s="321"/>
      <c r="AH132" s="321"/>
      <c r="AI132" s="321"/>
      <c r="AJ132" s="321"/>
      <c r="AK132" s="311"/>
      <c r="AL132" s="311"/>
      <c r="AM132" s="311"/>
      <c r="AN132" s="321"/>
      <c r="AO132" s="321"/>
      <c r="AP132" s="321"/>
      <c r="AQ132" s="612">
        <f>IF(H132="","",50*V132+83*Z132+26*AB132+44*AA132-59*W132-13*P132-28*AZ132)</f>
        <v>-12870</v>
      </c>
      <c r="AR132" s="847">
        <f>IF(H132="","",V132/1000*20140+Z132/1000*48600+1100/440*I132)</f>
        <v>1460</v>
      </c>
      <c r="AS132" s="321"/>
      <c r="AT132" s="321"/>
      <c r="AU132" s="852">
        <v>1</v>
      </c>
      <c r="AV132" s="852">
        <v>1</v>
      </c>
      <c r="AW132" s="852">
        <v>1</v>
      </c>
      <c r="AX132" s="852">
        <v>1</v>
      </c>
      <c r="AY132" s="852">
        <v>1</v>
      </c>
      <c r="AZ132" s="303"/>
      <c r="BA132" s="321"/>
      <c r="BB132" s="321"/>
      <c r="BC132" s="303">
        <f t="shared" si="83"/>
        <v>-7.1848410400000002</v>
      </c>
      <c r="BD132" s="277"/>
      <c r="BE132" s="277"/>
      <c r="BF132" s="277"/>
      <c r="BG132" s="277"/>
      <c r="BH132" s="277"/>
      <c r="BI132" s="277"/>
      <c r="BJ132" s="277"/>
      <c r="BK132" s="277"/>
      <c r="BL132" s="277"/>
      <c r="BM132" s="277"/>
      <c r="BN132" s="277"/>
      <c r="BO132" s="277"/>
      <c r="BP132" s="277"/>
      <c r="BQ132" s="277"/>
      <c r="BR132" s="277"/>
      <c r="BS132" s="277"/>
      <c r="BT132" s="277"/>
      <c r="BU132" s="277"/>
      <c r="BV132" s="277"/>
      <c r="BW132" s="277"/>
      <c r="BX132" s="277"/>
      <c r="BY132" s="277"/>
      <c r="BZ132" s="277"/>
      <c r="CA132" s="277"/>
      <c r="CB132" s="277"/>
      <c r="CC132" s="277"/>
      <c r="CD132" s="277"/>
      <c r="CE132" s="277"/>
      <c r="CF132" s="277"/>
      <c r="CG132" s="277"/>
      <c r="CH132" s="277"/>
      <c r="CI132" s="277"/>
      <c r="CJ132" s="277"/>
      <c r="CK132" s="277"/>
      <c r="CL132" s="277"/>
      <c r="CM132" s="277"/>
      <c r="CN132" s="277"/>
      <c r="CO132" s="277"/>
      <c r="CP132" s="277"/>
      <c r="CQ132" s="277"/>
      <c r="CR132" s="277"/>
      <c r="CS132" s="277"/>
      <c r="CT132" s="277"/>
      <c r="CU132" s="277"/>
      <c r="CV132" s="277"/>
      <c r="CW132" s="277"/>
      <c r="CX132" s="277"/>
      <c r="CY132" s="277"/>
      <c r="CZ132" s="277"/>
      <c r="DA132" s="277"/>
      <c r="DB132" s="277"/>
      <c r="DC132" s="277"/>
      <c r="DD132" s="277"/>
      <c r="DE132" s="277"/>
      <c r="DF132" s="277"/>
      <c r="DG132" s="277"/>
      <c r="DH132" s="277"/>
      <c r="DI132" s="277"/>
      <c r="DJ132" s="277"/>
      <c r="DK132" s="277"/>
      <c r="DL132" s="277"/>
      <c r="DM132" s="277"/>
      <c r="DN132" s="277"/>
      <c r="DO132" s="277"/>
      <c r="DP132" s="277"/>
      <c r="DQ132" s="277"/>
      <c r="DR132" s="277"/>
      <c r="DS132" s="277"/>
      <c r="DT132" s="277"/>
      <c r="DU132" s="277"/>
      <c r="DV132" s="277"/>
      <c r="DW132" s="277"/>
      <c r="DX132" s="277"/>
      <c r="DY132" s="277"/>
      <c r="DZ132" s="277"/>
      <c r="EA132" s="277"/>
      <c r="EB132" s="277"/>
      <c r="EC132" s="277"/>
      <c r="ED132" s="277"/>
      <c r="EE132" s="277"/>
      <c r="EF132" s="277"/>
      <c r="EG132" s="277"/>
      <c r="EH132" s="277"/>
      <c r="EI132" s="277"/>
      <c r="EJ132" s="277"/>
      <c r="EK132" s="277"/>
      <c r="EL132" s="277"/>
      <c r="EM132" s="277"/>
    </row>
    <row r="133" spans="1:143" s="3" customFormat="1" ht="12.5" customHeight="1">
      <c r="A133" s="897" t="str">
        <f t="shared" si="142"/>
        <v xml:space="preserve">Threonin (L-Thr.) 73% RP </v>
      </c>
      <c r="B133" s="298">
        <f>IF(D133=""," ",COUNTA($D$8:D133))</f>
        <v>122</v>
      </c>
      <c r="C133" s="327"/>
      <c r="D133" s="479" t="s">
        <v>238</v>
      </c>
      <c r="E133" s="617">
        <f t="shared" si="107"/>
        <v>73</v>
      </c>
      <c r="F133" s="299"/>
      <c r="G133" s="300"/>
      <c r="H133" s="275">
        <v>995</v>
      </c>
      <c r="I133" s="275">
        <v>731</v>
      </c>
      <c r="J133" s="275">
        <f>I133</f>
        <v>731</v>
      </c>
      <c r="K133" s="275"/>
      <c r="L133" s="303">
        <f>I133*0.0205*AV133+0.0398*AW133*AE133+0.0173*AF133+0.016*$AG133+0.0147*AI133</f>
        <v>14.9855</v>
      </c>
      <c r="M133" s="322">
        <f>IF(I133=""," ",$I133*0.021503+0.032497*$AE133+0.016309*$AF133+0.014701*$AJ133-0.021071*$K133)</f>
        <v>15.718693000000002</v>
      </c>
      <c r="N133" s="274"/>
      <c r="O133" s="301"/>
      <c r="P133" s="274"/>
      <c r="Q133" s="301"/>
      <c r="R133" s="274">
        <v>980</v>
      </c>
      <c r="S133" s="301">
        <v>980</v>
      </c>
      <c r="T133" s="274"/>
      <c r="U133" s="301"/>
      <c r="V133" s="274"/>
      <c r="W133" s="274"/>
      <c r="X133" s="301"/>
      <c r="Y133" s="301"/>
      <c r="Z133" s="274"/>
      <c r="AA133" s="303"/>
      <c r="AB133" s="276"/>
      <c r="AC133" s="311"/>
      <c r="AD133" s="311"/>
      <c r="AE133" s="321"/>
      <c r="AF133" s="321"/>
      <c r="AG133" s="321"/>
      <c r="AH133" s="321"/>
      <c r="AI133" s="321"/>
      <c r="AJ133" s="321"/>
      <c r="AK133" s="311"/>
      <c r="AL133" s="311"/>
      <c r="AM133" s="311"/>
      <c r="AN133" s="321"/>
      <c r="AO133" s="321"/>
      <c r="AP133" s="321"/>
      <c r="AQ133" s="612"/>
      <c r="AR133" s="847">
        <f>IF(H133="","",V133/1000*20140+Z133/1000*48600+1100/440*I133)</f>
        <v>1827.5</v>
      </c>
      <c r="AS133" s="321"/>
      <c r="AT133" s="321"/>
      <c r="AU133" s="852">
        <v>1</v>
      </c>
      <c r="AV133" s="852">
        <v>1</v>
      </c>
      <c r="AW133" s="852">
        <v>1</v>
      </c>
      <c r="AX133" s="852">
        <v>1</v>
      </c>
      <c r="AY133" s="852">
        <v>1</v>
      </c>
      <c r="AZ133" s="303"/>
      <c r="BA133" s="321"/>
      <c r="BB133" s="321"/>
      <c r="BC133" s="303">
        <f t="shared" si="83"/>
        <v>-8.9933541099999985</v>
      </c>
      <c r="BD133" s="277"/>
      <c r="BE133" s="277"/>
      <c r="BF133" s="277"/>
      <c r="BG133" s="277"/>
      <c r="BH133" s="277"/>
      <c r="BI133" s="277"/>
      <c r="BJ133" s="277"/>
      <c r="BK133" s="277"/>
      <c r="BL133" s="277"/>
      <c r="BM133" s="277"/>
      <c r="BN133" s="277"/>
      <c r="BO133" s="277"/>
      <c r="BP133" s="277"/>
      <c r="BQ133" s="277"/>
      <c r="BR133" s="277"/>
      <c r="BS133" s="277"/>
      <c r="BT133" s="277"/>
      <c r="BU133" s="277"/>
      <c r="BV133" s="277"/>
      <c r="BW133" s="277"/>
      <c r="BX133" s="277"/>
      <c r="BY133" s="277"/>
      <c r="BZ133" s="277"/>
      <c r="CA133" s="277"/>
      <c r="CB133" s="277"/>
      <c r="CC133" s="277"/>
      <c r="CD133" s="277"/>
      <c r="CE133" s="277"/>
      <c r="CF133" s="277"/>
      <c r="CG133" s="277"/>
      <c r="CH133" s="277"/>
      <c r="CI133" s="277"/>
      <c r="CJ133" s="277"/>
      <c r="CK133" s="277"/>
      <c r="CL133" s="277"/>
      <c r="CM133" s="277"/>
      <c r="CN133" s="277"/>
      <c r="CO133" s="277"/>
      <c r="CP133" s="277"/>
      <c r="CQ133" s="277"/>
      <c r="CR133" s="277"/>
      <c r="CS133" s="277"/>
      <c r="CT133" s="277"/>
      <c r="CU133" s="277"/>
      <c r="CV133" s="277"/>
      <c r="CW133" s="277"/>
      <c r="CX133" s="277"/>
      <c r="CY133" s="277"/>
      <c r="CZ133" s="277"/>
      <c r="DA133" s="277"/>
      <c r="DB133" s="277"/>
      <c r="DC133" s="277"/>
      <c r="DD133" s="277"/>
      <c r="DE133" s="277"/>
      <c r="DF133" s="277"/>
      <c r="DG133" s="277"/>
      <c r="DH133" s="277"/>
      <c r="DI133" s="277"/>
      <c r="DJ133" s="277"/>
      <c r="DK133" s="277"/>
      <c r="DL133" s="277"/>
      <c r="DM133" s="277"/>
      <c r="DN133" s="277"/>
      <c r="DO133" s="277"/>
      <c r="DP133" s="277"/>
      <c r="DQ133" s="277"/>
      <c r="DR133" s="277"/>
      <c r="DS133" s="277"/>
      <c r="DT133" s="277"/>
      <c r="DU133" s="277"/>
      <c r="DV133" s="277"/>
      <c r="DW133" s="277"/>
      <c r="DX133" s="277"/>
      <c r="DY133" s="277"/>
      <c r="DZ133" s="277"/>
      <c r="EA133" s="277"/>
      <c r="EB133" s="277"/>
      <c r="EC133" s="277"/>
      <c r="ED133" s="277"/>
      <c r="EE133" s="277"/>
      <c r="EF133" s="277"/>
      <c r="EG133" s="277"/>
      <c r="EH133" s="277"/>
      <c r="EI133" s="277"/>
      <c r="EJ133" s="277"/>
      <c r="EK133" s="277"/>
      <c r="EL133" s="277"/>
      <c r="EM133" s="277"/>
    </row>
    <row r="134" spans="1:143" s="3" customFormat="1" ht="12.5" customHeight="1">
      <c r="A134" s="897" t="str">
        <f t="shared" si="142"/>
        <v xml:space="preserve">Tryptophan (L-Try.) 85% RP </v>
      </c>
      <c r="B134" s="298">
        <f>IF(D134=""," ",COUNTA($D$8:D134))</f>
        <v>123</v>
      </c>
      <c r="C134" s="327"/>
      <c r="D134" s="479" t="s">
        <v>74</v>
      </c>
      <c r="E134" s="617">
        <f t="shared" si="107"/>
        <v>85</v>
      </c>
      <c r="F134" s="299"/>
      <c r="G134" s="300"/>
      <c r="H134" s="275">
        <v>995</v>
      </c>
      <c r="I134" s="275">
        <v>853</v>
      </c>
      <c r="J134" s="275">
        <f>I134</f>
        <v>853</v>
      </c>
      <c r="K134" s="275"/>
      <c r="L134" s="303">
        <f>I134*0.0205*AV134+0.0398*AW134*AE134+0.0173*AF134+0.016*$AG134+0.0147*AI134</f>
        <v>17.486499999999999</v>
      </c>
      <c r="M134" s="322">
        <f>IF(I134=""," ",$I134*0.021503+0.032497*$AE134+0.016309*$AF134+0.014701*$AJ134-0.021071*$K134)</f>
        <v>18.342059000000003</v>
      </c>
      <c r="N134" s="274"/>
      <c r="O134" s="301"/>
      <c r="P134" s="274"/>
      <c r="Q134" s="301"/>
      <c r="R134" s="274"/>
      <c r="S134" s="301"/>
      <c r="T134" s="274">
        <v>980</v>
      </c>
      <c r="U134" s="301">
        <v>980</v>
      </c>
      <c r="V134" s="274"/>
      <c r="W134" s="274"/>
      <c r="X134" s="301"/>
      <c r="Y134" s="301"/>
      <c r="Z134" s="274"/>
      <c r="AA134" s="303"/>
      <c r="AB134" s="276"/>
      <c r="AC134" s="311"/>
      <c r="AD134" s="311"/>
      <c r="AE134" s="321"/>
      <c r="AF134" s="321"/>
      <c r="AG134" s="321"/>
      <c r="AH134" s="321"/>
      <c r="AI134" s="321"/>
      <c r="AJ134" s="321"/>
      <c r="AK134" s="311"/>
      <c r="AL134" s="311"/>
      <c r="AM134" s="311"/>
      <c r="AN134" s="321"/>
      <c r="AO134" s="321"/>
      <c r="AP134" s="321"/>
      <c r="AQ134" s="612"/>
      <c r="AR134" s="847">
        <f>IF(H134="","",V134/1000*20140+Z134/1000*48600+1100/440*I134)</f>
        <v>2132.5</v>
      </c>
      <c r="AS134" s="321"/>
      <c r="AT134" s="321"/>
      <c r="AU134" s="852">
        <v>1</v>
      </c>
      <c r="AV134" s="852">
        <v>1</v>
      </c>
      <c r="AW134" s="852">
        <v>1</v>
      </c>
      <c r="AX134" s="852">
        <v>1</v>
      </c>
      <c r="AY134" s="852">
        <v>1</v>
      </c>
      <c r="AZ134" s="303"/>
      <c r="BA134" s="321"/>
      <c r="BB134" s="321"/>
      <c r="BC134" s="303">
        <f t="shared" si="83"/>
        <v>-10.494296929999999</v>
      </c>
      <c r="BD134" s="277"/>
      <c r="BE134" s="277"/>
      <c r="BF134" s="277"/>
      <c r="BG134" s="277"/>
      <c r="BH134" s="277"/>
      <c r="BI134" s="277"/>
      <c r="BJ134" s="277"/>
      <c r="BK134" s="277"/>
      <c r="BL134" s="277"/>
      <c r="BM134" s="277"/>
      <c r="BN134" s="277"/>
      <c r="BO134" s="277"/>
      <c r="BP134" s="277"/>
      <c r="BQ134" s="277"/>
      <c r="BR134" s="277"/>
      <c r="BS134" s="277"/>
      <c r="BT134" s="277"/>
      <c r="BU134" s="277"/>
      <c r="BV134" s="277"/>
      <c r="BW134" s="277"/>
      <c r="BX134" s="277"/>
      <c r="BY134" s="277"/>
      <c r="BZ134" s="277"/>
      <c r="CA134" s="277"/>
      <c r="CB134" s="277"/>
      <c r="CC134" s="277"/>
      <c r="CD134" s="277"/>
      <c r="CE134" s="277"/>
      <c r="CF134" s="277"/>
      <c r="CG134" s="277"/>
      <c r="CH134" s="277"/>
      <c r="CI134" s="277"/>
      <c r="CJ134" s="277"/>
      <c r="CK134" s="277"/>
      <c r="CL134" s="277"/>
      <c r="CM134" s="277"/>
      <c r="CN134" s="277"/>
      <c r="CO134" s="277"/>
      <c r="CP134" s="277"/>
      <c r="CQ134" s="277"/>
      <c r="CR134" s="277"/>
      <c r="CS134" s="277"/>
      <c r="CT134" s="277"/>
      <c r="CU134" s="277"/>
      <c r="CV134" s="277"/>
      <c r="CW134" s="277"/>
      <c r="CX134" s="277"/>
      <c r="CY134" s="277"/>
      <c r="CZ134" s="277"/>
      <c r="DA134" s="277"/>
      <c r="DB134" s="277"/>
      <c r="DC134" s="277"/>
      <c r="DD134" s="277"/>
      <c r="DE134" s="277"/>
      <c r="DF134" s="277"/>
      <c r="DG134" s="277"/>
      <c r="DH134" s="277"/>
      <c r="DI134" s="277"/>
      <c r="DJ134" s="277"/>
      <c r="DK134" s="277"/>
      <c r="DL134" s="277"/>
      <c r="DM134" s="277"/>
      <c r="DN134" s="277"/>
      <c r="DO134" s="277"/>
      <c r="DP134" s="277"/>
      <c r="DQ134" s="277"/>
      <c r="DR134" s="277"/>
      <c r="DS134" s="277"/>
      <c r="DT134" s="277"/>
      <c r="DU134" s="277"/>
      <c r="DV134" s="277"/>
      <c r="DW134" s="277"/>
      <c r="DX134" s="277"/>
      <c r="DY134" s="277"/>
      <c r="DZ134" s="277"/>
      <c r="EA134" s="277"/>
      <c r="EB134" s="277"/>
      <c r="EC134" s="277"/>
      <c r="ED134" s="277"/>
      <c r="EE134" s="277"/>
      <c r="EF134" s="277"/>
      <c r="EG134" s="277"/>
      <c r="EH134" s="277"/>
      <c r="EI134" s="277"/>
      <c r="EJ134" s="277"/>
      <c r="EK134" s="277"/>
      <c r="EL134" s="277"/>
      <c r="EM134" s="277"/>
    </row>
    <row r="135" spans="1:143" s="3" customFormat="1" ht="5" customHeight="1">
      <c r="A135" s="897" t="str">
        <f t="shared" si="142"/>
        <v xml:space="preserve"> </v>
      </c>
      <c r="B135" s="298" t="str">
        <f>IF(D135=""," ",COUNTA($D$8:D135))</f>
        <v xml:space="preserve"> </v>
      </c>
      <c r="C135" s="327"/>
      <c r="D135" s="479"/>
      <c r="E135" s="617" t="str">
        <f t="shared" si="107"/>
        <v xml:space="preserve"> </v>
      </c>
      <c r="F135" s="299"/>
      <c r="G135" s="300"/>
      <c r="H135" s="275"/>
      <c r="I135" s="275"/>
      <c r="J135" s="275"/>
      <c r="K135" s="275"/>
      <c r="L135" s="303"/>
      <c r="M135" s="322"/>
      <c r="N135" s="274"/>
      <c r="O135" s="301"/>
      <c r="P135" s="274"/>
      <c r="Q135" s="301"/>
      <c r="R135" s="274"/>
      <c r="S135" s="301"/>
      <c r="T135" s="274"/>
      <c r="U135" s="301"/>
      <c r="V135" s="274"/>
      <c r="W135" s="274"/>
      <c r="X135" s="301"/>
      <c r="Y135" s="301"/>
      <c r="Z135" s="274"/>
      <c r="AA135" s="303"/>
      <c r="AB135" s="276"/>
      <c r="AC135" s="311"/>
      <c r="AD135" s="311"/>
      <c r="AE135" s="321"/>
      <c r="AF135" s="321"/>
      <c r="AG135" s="321"/>
      <c r="AH135" s="321"/>
      <c r="AI135" s="321"/>
      <c r="AJ135" s="321"/>
      <c r="AK135" s="311"/>
      <c r="AL135" s="311"/>
      <c r="AM135" s="311"/>
      <c r="AN135" s="321"/>
      <c r="AO135" s="321"/>
      <c r="AP135" s="321"/>
      <c r="AQ135" s="321"/>
      <c r="AR135" s="321"/>
      <c r="AS135" s="321"/>
      <c r="AT135" s="321" t="str">
        <f t="shared" si="108"/>
        <v xml:space="preserve"> </v>
      </c>
      <c r="AU135" s="852"/>
      <c r="AV135" s="852"/>
      <c r="AW135" s="852"/>
      <c r="AX135" s="852"/>
      <c r="AY135" s="852"/>
      <c r="AZ135" s="303"/>
      <c r="BA135" s="321"/>
      <c r="BB135" s="321"/>
      <c r="BC135" s="303" t="str">
        <f t="shared" si="83"/>
        <v/>
      </c>
      <c r="BD135" s="277"/>
      <c r="BE135" s="277"/>
      <c r="BF135" s="277"/>
      <c r="BG135" s="277"/>
      <c r="BH135" s="277"/>
      <c r="BI135" s="277"/>
      <c r="BJ135" s="277"/>
      <c r="BK135" s="277"/>
      <c r="BL135" s="277"/>
      <c r="BM135" s="277"/>
      <c r="BN135" s="277"/>
      <c r="BO135" s="277"/>
      <c r="BP135" s="277"/>
      <c r="BQ135" s="277"/>
      <c r="BR135" s="277"/>
      <c r="BS135" s="277"/>
      <c r="BT135" s="277"/>
      <c r="BU135" s="277"/>
      <c r="BV135" s="277"/>
      <c r="BW135" s="277"/>
      <c r="BX135" s="277"/>
      <c r="BY135" s="277"/>
      <c r="BZ135" s="277"/>
      <c r="CA135" s="277"/>
      <c r="CB135" s="277"/>
      <c r="CC135" s="277"/>
      <c r="CD135" s="277"/>
      <c r="CE135" s="277"/>
      <c r="CF135" s="277"/>
      <c r="CG135" s="277"/>
      <c r="CH135" s="277"/>
      <c r="CI135" s="277"/>
      <c r="CJ135" s="277"/>
      <c r="CK135" s="277"/>
      <c r="CL135" s="277"/>
      <c r="CM135" s="277"/>
      <c r="CN135" s="277"/>
      <c r="CO135" s="277"/>
      <c r="CP135" s="277"/>
      <c r="CQ135" s="277"/>
      <c r="CR135" s="277"/>
      <c r="CS135" s="277"/>
      <c r="CT135" s="277"/>
      <c r="CU135" s="277"/>
      <c r="CV135" s="277"/>
      <c r="CW135" s="277"/>
      <c r="CX135" s="277"/>
      <c r="CY135" s="277"/>
      <c r="CZ135" s="277"/>
      <c r="DA135" s="277"/>
      <c r="DB135" s="277"/>
      <c r="DC135" s="277"/>
      <c r="DD135" s="277"/>
      <c r="DE135" s="277"/>
      <c r="DF135" s="277"/>
      <c r="DG135" s="277"/>
      <c r="DH135" s="277"/>
      <c r="DI135" s="277"/>
      <c r="DJ135" s="277"/>
      <c r="DK135" s="277"/>
      <c r="DL135" s="277"/>
      <c r="DM135" s="277"/>
      <c r="DN135" s="277"/>
      <c r="DO135" s="277"/>
      <c r="DP135" s="277"/>
      <c r="DQ135" s="277"/>
      <c r="DR135" s="277"/>
      <c r="DS135" s="277"/>
      <c r="DT135" s="277"/>
      <c r="DU135" s="277"/>
      <c r="DV135" s="277"/>
      <c r="DW135" s="277"/>
      <c r="DX135" s="277"/>
      <c r="DY135" s="277"/>
      <c r="DZ135" s="277"/>
      <c r="EA135" s="277"/>
      <c r="EB135" s="277"/>
      <c r="EC135" s="277"/>
      <c r="ED135" s="277"/>
      <c r="EE135" s="277"/>
      <c r="EF135" s="277"/>
      <c r="EG135" s="277"/>
      <c r="EH135" s="277"/>
      <c r="EI135" s="277"/>
      <c r="EJ135" s="277"/>
      <c r="EK135" s="277"/>
      <c r="EL135" s="277"/>
      <c r="EM135" s="277"/>
    </row>
    <row r="136" spans="1:143" s="3" customFormat="1" ht="12" customHeight="1">
      <c r="A136" s="897" t="str">
        <f t="shared" si="142"/>
        <v xml:space="preserve">Sonstige Futtermittel </v>
      </c>
      <c r="B136" s="601">
        <f>IF(D136=""," ",COUNTA($D$8:D136))</f>
        <v>124</v>
      </c>
      <c r="C136" s="327"/>
      <c r="D136" s="1053" t="s">
        <v>75</v>
      </c>
      <c r="E136" s="617" t="str">
        <f t="shared" si="107"/>
        <v xml:space="preserve"> </v>
      </c>
      <c r="F136" s="299"/>
      <c r="G136" s="300"/>
      <c r="H136" s="275"/>
      <c r="I136" s="275"/>
      <c r="J136" s="275"/>
      <c r="K136" s="275"/>
      <c r="L136" s="303"/>
      <c r="M136" s="322"/>
      <c r="N136" s="274"/>
      <c r="O136" s="301"/>
      <c r="P136" s="274"/>
      <c r="Q136" s="301"/>
      <c r="R136" s="274"/>
      <c r="S136" s="301"/>
      <c r="T136" s="274"/>
      <c r="U136" s="301"/>
      <c r="V136" s="274"/>
      <c r="W136" s="274"/>
      <c r="X136" s="301"/>
      <c r="Y136" s="301"/>
      <c r="Z136" s="274"/>
      <c r="AA136" s="303"/>
      <c r="AB136" s="276"/>
      <c r="AC136" s="311"/>
      <c r="AD136" s="311"/>
      <c r="AE136" s="321"/>
      <c r="AF136" s="321"/>
      <c r="AG136" s="321"/>
      <c r="AH136" s="321"/>
      <c r="AI136" s="321"/>
      <c r="AJ136" s="321"/>
      <c r="AK136" s="311"/>
      <c r="AL136" s="311"/>
      <c r="AM136" s="311"/>
      <c r="AN136" s="321"/>
      <c r="AO136" s="321"/>
      <c r="AP136" s="321"/>
      <c r="AQ136" s="321"/>
      <c r="AR136" s="321"/>
      <c r="AS136" s="321"/>
      <c r="AT136" s="321" t="str">
        <f t="shared" si="108"/>
        <v xml:space="preserve"> </v>
      </c>
      <c r="AU136" s="852"/>
      <c r="AV136" s="852"/>
      <c r="AW136" s="852"/>
      <c r="AX136" s="852"/>
      <c r="AY136" s="852"/>
      <c r="AZ136" s="303"/>
      <c r="BA136" s="321"/>
      <c r="BB136" s="321"/>
      <c r="BC136" s="303" t="str">
        <f t="shared" si="83"/>
        <v/>
      </c>
      <c r="BD136" s="277"/>
      <c r="BE136" s="277"/>
      <c r="BF136" s="277"/>
      <c r="BG136" s="277"/>
      <c r="BH136" s="277"/>
      <c r="BI136" s="277"/>
      <c r="BJ136" s="277"/>
      <c r="BK136" s="277"/>
      <c r="BL136" s="277"/>
      <c r="BM136" s="277"/>
      <c r="BN136" s="277"/>
      <c r="BO136" s="277"/>
      <c r="BP136" s="277"/>
      <c r="BQ136" s="277"/>
      <c r="BR136" s="277"/>
      <c r="BS136" s="277"/>
      <c r="BT136" s="277"/>
      <c r="BU136" s="277"/>
      <c r="BV136" s="277"/>
      <c r="BW136" s="277"/>
      <c r="BX136" s="277"/>
      <c r="BY136" s="277"/>
      <c r="BZ136" s="277"/>
      <c r="CA136" s="277"/>
      <c r="CB136" s="277"/>
      <c r="CC136" s="277"/>
      <c r="CD136" s="277"/>
      <c r="CE136" s="277"/>
      <c r="CF136" s="277"/>
      <c r="CG136" s="277"/>
      <c r="CH136" s="277"/>
      <c r="CI136" s="277"/>
      <c r="CJ136" s="277"/>
      <c r="CK136" s="277"/>
      <c r="CL136" s="277"/>
      <c r="CM136" s="277"/>
      <c r="CN136" s="277"/>
      <c r="CO136" s="277"/>
      <c r="CP136" s="277"/>
      <c r="CQ136" s="277"/>
      <c r="CR136" s="277"/>
      <c r="CS136" s="277"/>
      <c r="CT136" s="277"/>
      <c r="CU136" s="277"/>
      <c r="CV136" s="277"/>
      <c r="CW136" s="277"/>
      <c r="CX136" s="277"/>
      <c r="CY136" s="277"/>
      <c r="CZ136" s="277"/>
      <c r="DA136" s="277"/>
      <c r="DB136" s="277"/>
      <c r="DC136" s="277"/>
      <c r="DD136" s="277"/>
      <c r="DE136" s="277"/>
      <c r="DF136" s="277"/>
      <c r="DG136" s="277"/>
      <c r="DH136" s="277"/>
      <c r="DI136" s="277"/>
      <c r="DJ136" s="277"/>
      <c r="DK136" s="277"/>
      <c r="DL136" s="277"/>
      <c r="DM136" s="277"/>
      <c r="DN136" s="277"/>
      <c r="DO136" s="277"/>
      <c r="DP136" s="277"/>
      <c r="DQ136" s="277"/>
      <c r="DR136" s="277"/>
      <c r="DS136" s="277"/>
      <c r="DT136" s="277"/>
      <c r="DU136" s="277"/>
      <c r="DV136" s="277"/>
      <c r="DW136" s="277"/>
      <c r="DX136" s="277"/>
      <c r="DY136" s="277"/>
      <c r="DZ136" s="277"/>
      <c r="EA136" s="277"/>
      <c r="EB136" s="277"/>
      <c r="EC136" s="277"/>
      <c r="ED136" s="277"/>
      <c r="EE136" s="277"/>
      <c r="EF136" s="277"/>
      <c r="EG136" s="277"/>
      <c r="EH136" s="277"/>
      <c r="EI136" s="277"/>
      <c r="EJ136" s="277"/>
      <c r="EK136" s="277"/>
      <c r="EL136" s="277"/>
      <c r="EM136" s="277"/>
    </row>
    <row r="137" spans="1:143" s="3" customFormat="1" ht="5" customHeight="1">
      <c r="A137" s="897" t="str">
        <f t="shared" si="142"/>
        <v xml:space="preserve"> </v>
      </c>
      <c r="B137" s="298" t="str">
        <f>IF(D137=""," ",COUNTA($D$8:D137))</f>
        <v xml:space="preserve"> </v>
      </c>
      <c r="C137" s="327"/>
      <c r="D137" s="969"/>
      <c r="E137" s="617" t="str">
        <f t="shared" si="107"/>
        <v xml:space="preserve"> </v>
      </c>
      <c r="F137" s="299"/>
      <c r="G137" s="300"/>
      <c r="H137" s="275"/>
      <c r="I137" s="275"/>
      <c r="J137" s="275"/>
      <c r="K137" s="275"/>
      <c r="L137" s="303"/>
      <c r="M137" s="322"/>
      <c r="N137" s="274"/>
      <c r="O137" s="301"/>
      <c r="P137" s="274"/>
      <c r="Q137" s="301"/>
      <c r="R137" s="274"/>
      <c r="S137" s="301"/>
      <c r="T137" s="274"/>
      <c r="U137" s="301"/>
      <c r="V137" s="274"/>
      <c r="W137" s="274"/>
      <c r="X137" s="301"/>
      <c r="Y137" s="301"/>
      <c r="Z137" s="274"/>
      <c r="AA137" s="303"/>
      <c r="AB137" s="276"/>
      <c r="AC137" s="311"/>
      <c r="AD137" s="311"/>
      <c r="AE137" s="321"/>
      <c r="AF137" s="321"/>
      <c r="AG137" s="321"/>
      <c r="AH137" s="321"/>
      <c r="AI137" s="321"/>
      <c r="AJ137" s="321"/>
      <c r="AK137" s="311"/>
      <c r="AL137" s="311"/>
      <c r="AM137" s="311"/>
      <c r="AN137" s="321"/>
      <c r="AO137" s="321"/>
      <c r="AP137" s="321"/>
      <c r="AQ137" s="321"/>
      <c r="AR137" s="321"/>
      <c r="AS137" s="321"/>
      <c r="AT137" s="321" t="str">
        <f t="shared" si="108"/>
        <v xml:space="preserve"> </v>
      </c>
      <c r="AU137" s="852"/>
      <c r="AV137" s="852"/>
      <c r="AW137" s="852"/>
      <c r="AX137" s="852"/>
      <c r="AY137" s="852"/>
      <c r="AZ137" s="303"/>
      <c r="BA137" s="321"/>
      <c r="BB137" s="321"/>
      <c r="BC137" s="303" t="str">
        <f t="shared" ref="BC137:BC169" si="147">IF(H137="","",0.73*M137+0.055*AE137+0.015*AF137-0.028*I137-0.041*K137)</f>
        <v/>
      </c>
      <c r="BD137" s="277"/>
      <c r="BE137" s="277"/>
      <c r="BF137" s="277"/>
      <c r="BG137" s="277"/>
      <c r="BH137" s="277"/>
      <c r="BI137" s="277"/>
      <c r="BJ137" s="277"/>
      <c r="BK137" s="277"/>
      <c r="BL137" s="277"/>
      <c r="BM137" s="277"/>
      <c r="BN137" s="277"/>
      <c r="BO137" s="277"/>
      <c r="BP137" s="277"/>
      <c r="BQ137" s="277"/>
      <c r="BR137" s="277"/>
      <c r="BS137" s="277"/>
      <c r="BT137" s="277"/>
      <c r="BU137" s="277"/>
      <c r="BV137" s="277"/>
      <c r="BW137" s="277"/>
      <c r="BX137" s="277"/>
      <c r="BY137" s="277"/>
      <c r="BZ137" s="277"/>
      <c r="CA137" s="277"/>
      <c r="CB137" s="277"/>
      <c r="CC137" s="277"/>
      <c r="CD137" s="277"/>
      <c r="CE137" s="277"/>
      <c r="CF137" s="277"/>
      <c r="CG137" s="277"/>
      <c r="CH137" s="277"/>
      <c r="CI137" s="277"/>
      <c r="CJ137" s="277"/>
      <c r="CK137" s="277"/>
      <c r="CL137" s="277"/>
      <c r="CM137" s="277"/>
      <c r="CN137" s="277"/>
      <c r="CO137" s="277"/>
      <c r="CP137" s="277"/>
      <c r="CQ137" s="277"/>
      <c r="CR137" s="277"/>
      <c r="CS137" s="277"/>
      <c r="CT137" s="277"/>
      <c r="CU137" s="277"/>
      <c r="CV137" s="277"/>
      <c r="CW137" s="277"/>
      <c r="CX137" s="277"/>
      <c r="CY137" s="277"/>
      <c r="CZ137" s="277"/>
      <c r="DA137" s="277"/>
      <c r="DB137" s="277"/>
      <c r="DC137" s="277"/>
      <c r="DD137" s="277"/>
      <c r="DE137" s="277"/>
      <c r="DF137" s="277"/>
      <c r="DG137" s="277"/>
      <c r="DH137" s="277"/>
      <c r="DI137" s="277"/>
      <c r="DJ137" s="277"/>
      <c r="DK137" s="277"/>
      <c r="DL137" s="277"/>
      <c r="DM137" s="277"/>
      <c r="DN137" s="277"/>
      <c r="DO137" s="277"/>
      <c r="DP137" s="277"/>
      <c r="DQ137" s="277"/>
      <c r="DR137" s="277"/>
      <c r="DS137" s="277"/>
      <c r="DT137" s="277"/>
      <c r="DU137" s="277"/>
      <c r="DV137" s="277"/>
      <c r="DW137" s="277"/>
      <c r="DX137" s="277"/>
      <c r="DY137" s="277"/>
      <c r="DZ137" s="277"/>
      <c r="EA137" s="277"/>
      <c r="EB137" s="277"/>
      <c r="EC137" s="277"/>
      <c r="ED137" s="277"/>
      <c r="EE137" s="277"/>
      <c r="EF137" s="277"/>
      <c r="EG137" s="277"/>
      <c r="EH137" s="277"/>
      <c r="EI137" s="277"/>
      <c r="EJ137" s="277"/>
      <c r="EK137" s="277"/>
      <c r="EL137" s="277"/>
      <c r="EM137" s="277"/>
    </row>
    <row r="138" spans="1:143" s="3" customFormat="1" ht="12" customHeight="1">
      <c r="A138" s="897" t="str">
        <f t="shared" si="142"/>
        <v xml:space="preserve">Ameisensäure </v>
      </c>
      <c r="B138" s="298">
        <f>IF(D138=""," ",COUNTA($D$8:D138))</f>
        <v>125</v>
      </c>
      <c r="C138" s="327"/>
      <c r="D138" s="479" t="s">
        <v>337</v>
      </c>
      <c r="E138" s="617" t="str">
        <f t="shared" si="107"/>
        <v xml:space="preserve"> </v>
      </c>
      <c r="F138" s="299"/>
      <c r="G138" s="300"/>
      <c r="H138" s="275">
        <v>850</v>
      </c>
      <c r="I138" s="275"/>
      <c r="J138" s="275"/>
      <c r="K138" s="275"/>
      <c r="L138" s="303">
        <v>5.8</v>
      </c>
      <c r="M138" s="303">
        <v>5.8</v>
      </c>
      <c r="N138" s="274"/>
      <c r="O138" s="301"/>
      <c r="P138" s="274"/>
      <c r="Q138" s="301"/>
      <c r="R138" s="274"/>
      <c r="S138" s="301"/>
      <c r="T138" s="274"/>
      <c r="U138" s="301"/>
      <c r="V138" s="274"/>
      <c r="W138" s="274"/>
      <c r="X138" s="301"/>
      <c r="Y138" s="301"/>
      <c r="Z138" s="274"/>
      <c r="AA138" s="303"/>
      <c r="AB138" s="276"/>
      <c r="AC138" s="311"/>
      <c r="AD138" s="311"/>
      <c r="AE138" s="321"/>
      <c r="AF138" s="321"/>
      <c r="AG138" s="321"/>
      <c r="AH138" s="321"/>
      <c r="AI138" s="321"/>
      <c r="AJ138" s="321"/>
      <c r="AK138" s="311"/>
      <c r="AL138" s="311"/>
      <c r="AM138" s="311"/>
      <c r="AN138" s="321"/>
      <c r="AO138" s="321"/>
      <c r="AP138" s="321"/>
      <c r="AQ138" s="612"/>
      <c r="AR138" s="847">
        <v>-6500</v>
      </c>
      <c r="AS138" s="321"/>
      <c r="AT138" s="321"/>
      <c r="AU138" s="852"/>
      <c r="AV138" s="852"/>
      <c r="AW138" s="852"/>
      <c r="AX138" s="852"/>
      <c r="AY138" s="852"/>
      <c r="AZ138" s="303"/>
      <c r="BA138" s="321"/>
      <c r="BB138" s="321"/>
      <c r="BC138" s="303">
        <f t="shared" si="147"/>
        <v>4.234</v>
      </c>
      <c r="BD138" s="277"/>
      <c r="BE138" s="277"/>
      <c r="BF138" s="277"/>
      <c r="BG138" s="277"/>
      <c r="BH138" s="277"/>
      <c r="BI138" s="277"/>
      <c r="BJ138" s="277"/>
      <c r="BK138" s="277"/>
      <c r="BL138" s="277"/>
      <c r="BM138" s="277"/>
      <c r="BN138" s="277"/>
      <c r="BO138" s="277"/>
      <c r="BP138" s="277"/>
      <c r="BQ138" s="277"/>
      <c r="BR138" s="277"/>
      <c r="BS138" s="277"/>
      <c r="BT138" s="277"/>
      <c r="BU138" s="277"/>
      <c r="BV138" s="277"/>
      <c r="BW138" s="277"/>
      <c r="BX138" s="277"/>
      <c r="BY138" s="277"/>
      <c r="BZ138" s="277"/>
      <c r="CA138" s="277"/>
      <c r="CB138" s="277"/>
      <c r="CC138" s="277"/>
      <c r="CD138" s="277"/>
      <c r="CE138" s="277"/>
      <c r="CF138" s="277"/>
      <c r="CG138" s="277"/>
      <c r="CH138" s="277"/>
      <c r="CI138" s="277"/>
      <c r="CJ138" s="277"/>
      <c r="CK138" s="277"/>
      <c r="CL138" s="277"/>
      <c r="CM138" s="277"/>
      <c r="CN138" s="277"/>
      <c r="CO138" s="277"/>
      <c r="CP138" s="277"/>
      <c r="CQ138" s="277"/>
      <c r="CR138" s="277"/>
      <c r="CS138" s="277"/>
      <c r="CT138" s="277"/>
      <c r="CU138" s="277"/>
      <c r="CV138" s="277"/>
      <c r="CW138" s="277"/>
      <c r="CX138" s="277"/>
      <c r="CY138" s="277"/>
      <c r="CZ138" s="277"/>
      <c r="DA138" s="277"/>
      <c r="DB138" s="277"/>
      <c r="DC138" s="277"/>
      <c r="DD138" s="277"/>
      <c r="DE138" s="277"/>
      <c r="DF138" s="277"/>
      <c r="DG138" s="277"/>
      <c r="DH138" s="277"/>
      <c r="DI138" s="277"/>
      <c r="DJ138" s="277"/>
      <c r="DK138" s="277"/>
      <c r="DL138" s="277"/>
      <c r="DM138" s="277"/>
      <c r="DN138" s="277"/>
      <c r="DO138" s="277"/>
      <c r="DP138" s="277"/>
      <c r="DQ138" s="277"/>
      <c r="DR138" s="277"/>
      <c r="DS138" s="277"/>
      <c r="DT138" s="277"/>
      <c r="DU138" s="277"/>
      <c r="DV138" s="277"/>
      <c r="DW138" s="277"/>
      <c r="DX138" s="277"/>
      <c r="DY138" s="277"/>
      <c r="DZ138" s="277"/>
      <c r="EA138" s="277"/>
      <c r="EB138" s="277"/>
      <c r="EC138" s="277"/>
      <c r="ED138" s="277"/>
      <c r="EE138" s="277"/>
      <c r="EF138" s="277"/>
      <c r="EG138" s="277"/>
      <c r="EH138" s="277"/>
      <c r="EI138" s="277"/>
      <c r="EJ138" s="277"/>
      <c r="EK138" s="277"/>
      <c r="EL138" s="277"/>
      <c r="EM138" s="277"/>
    </row>
    <row r="139" spans="1:143" s="3" customFormat="1" ht="12.5" customHeight="1">
      <c r="A139" s="897" t="str">
        <f t="shared" si="142"/>
        <v xml:space="preserve">Futterkalk CaCO3 </v>
      </c>
      <c r="B139" s="298">
        <f>IF(D139=""," ",COUNTA($D$8:D139))</f>
        <v>126</v>
      </c>
      <c r="C139" s="327"/>
      <c r="D139" s="479" t="s">
        <v>738</v>
      </c>
      <c r="E139" s="617" t="str">
        <f>IF(I139=0," ",ROUND(I139/10,0))</f>
        <v xml:space="preserve"> </v>
      </c>
      <c r="F139" s="299"/>
      <c r="G139" s="300"/>
      <c r="H139" s="275">
        <v>999</v>
      </c>
      <c r="I139" s="275"/>
      <c r="J139" s="275"/>
      <c r="K139" s="275"/>
      <c r="L139" s="303">
        <v>0</v>
      </c>
      <c r="M139" s="322">
        <v>0</v>
      </c>
      <c r="N139" s="274"/>
      <c r="O139" s="301"/>
      <c r="P139" s="274"/>
      <c r="Q139" s="301"/>
      <c r="R139" s="274"/>
      <c r="S139" s="301"/>
      <c r="T139" s="274"/>
      <c r="U139" s="301"/>
      <c r="V139" s="274">
        <v>381.4</v>
      </c>
      <c r="W139" s="274">
        <v>0.4</v>
      </c>
      <c r="X139" s="301"/>
      <c r="Y139" s="301"/>
      <c r="Z139" s="274">
        <v>1.6</v>
      </c>
      <c r="AA139" s="303"/>
      <c r="AB139" s="276"/>
      <c r="AC139" s="311"/>
      <c r="AD139" s="311"/>
      <c r="AE139" s="321"/>
      <c r="AF139" s="321"/>
      <c r="AG139" s="321"/>
      <c r="AH139" s="321"/>
      <c r="AI139" s="321"/>
      <c r="AJ139" s="321"/>
      <c r="AK139" s="311"/>
      <c r="AL139" s="311"/>
      <c r="AM139" s="311"/>
      <c r="AN139" s="321"/>
      <c r="AO139" s="321"/>
      <c r="AP139" s="321"/>
      <c r="AQ139" s="612">
        <f t="shared" ref="AQ139:AQ168" si="148">IF(H139="","",50*V139+83*Z139+26*AB139+44*AA139-59*W139-13*P139-28*AZ139)</f>
        <v>19154</v>
      </c>
      <c r="AR139" s="847">
        <v>20140</v>
      </c>
      <c r="AS139" s="321"/>
      <c r="AT139" s="321"/>
      <c r="AU139" s="852"/>
      <c r="AV139" s="852"/>
      <c r="AW139" s="852"/>
      <c r="AX139" s="852"/>
      <c r="AY139" s="852"/>
      <c r="AZ139" s="303">
        <v>0.9</v>
      </c>
      <c r="BA139" s="321"/>
      <c r="BB139" s="321"/>
      <c r="BC139" s="303">
        <f t="shared" si="147"/>
        <v>0</v>
      </c>
      <c r="BD139" s="277"/>
      <c r="BE139" s="277"/>
      <c r="BF139" s="277"/>
      <c r="BG139" s="277"/>
      <c r="BH139" s="277"/>
      <c r="BI139" s="277"/>
      <c r="BJ139" s="277"/>
      <c r="BK139" s="277"/>
      <c r="BL139" s="277"/>
      <c r="BM139" s="277"/>
      <c r="BN139" s="277"/>
      <c r="BO139" s="277"/>
      <c r="BP139" s="277"/>
      <c r="BQ139" s="277"/>
      <c r="BR139" s="277"/>
      <c r="BS139" s="277"/>
      <c r="BT139" s="277"/>
      <c r="BU139" s="277"/>
      <c r="BV139" s="277"/>
      <c r="BW139" s="277"/>
      <c r="BX139" s="277"/>
      <c r="BY139" s="277"/>
      <c r="BZ139" s="277"/>
      <c r="CA139" s="277"/>
      <c r="CB139" s="277"/>
      <c r="CC139" s="277"/>
      <c r="CD139" s="277"/>
      <c r="CE139" s="277"/>
      <c r="CF139" s="277"/>
      <c r="CG139" s="277"/>
      <c r="CH139" s="277"/>
      <c r="CI139" s="277"/>
      <c r="CJ139" s="277"/>
      <c r="CK139" s="277"/>
      <c r="CL139" s="277"/>
      <c r="CM139" s="277"/>
      <c r="CN139" s="277"/>
      <c r="CO139" s="277"/>
      <c r="CP139" s="277"/>
      <c r="CQ139" s="277"/>
      <c r="CR139" s="277"/>
      <c r="CS139" s="277"/>
      <c r="CT139" s="277"/>
      <c r="CU139" s="277"/>
      <c r="CV139" s="277"/>
      <c r="CW139" s="277"/>
      <c r="CX139" s="277"/>
      <c r="CY139" s="277"/>
      <c r="CZ139" s="277"/>
      <c r="DA139" s="277"/>
      <c r="DB139" s="277"/>
      <c r="DC139" s="277"/>
      <c r="DD139" s="277"/>
      <c r="DE139" s="277"/>
      <c r="DF139" s="277"/>
      <c r="DG139" s="277"/>
      <c r="DH139" s="277"/>
      <c r="DI139" s="277"/>
      <c r="DJ139" s="277"/>
      <c r="DK139" s="277"/>
      <c r="DL139" s="277"/>
      <c r="DM139" s="277"/>
      <c r="DN139" s="277"/>
      <c r="DO139" s="277"/>
      <c r="DP139" s="277"/>
      <c r="DQ139" s="277"/>
      <c r="DR139" s="277"/>
      <c r="DS139" s="277"/>
      <c r="DT139" s="277"/>
      <c r="DU139" s="277"/>
      <c r="DV139" s="277"/>
      <c r="DW139" s="277"/>
      <c r="DX139" s="277"/>
      <c r="DY139" s="277"/>
      <c r="DZ139" s="277"/>
      <c r="EA139" s="277"/>
      <c r="EB139" s="277"/>
      <c r="EC139" s="277"/>
      <c r="ED139" s="277"/>
      <c r="EE139" s="277"/>
      <c r="EF139" s="277"/>
      <c r="EG139" s="277"/>
      <c r="EH139" s="277"/>
      <c r="EI139" s="277"/>
      <c r="EJ139" s="277"/>
      <c r="EK139" s="277"/>
      <c r="EL139" s="277"/>
      <c r="EM139" s="277"/>
    </row>
    <row r="140" spans="1:143" s="3" customFormat="1" ht="12.5" customHeight="1">
      <c r="A140" s="897" t="str">
        <f>IF(E140=" ",D140&amp;" "&amp;F140,D140&amp;" "&amp;E140&amp;"% RP "&amp;F140)</f>
        <v xml:space="preserve">Ca-Formiat Ca(COOH)2 </v>
      </c>
      <c r="B140" s="298">
        <f>IF(D140=""," ",COUNTA($D$8:D140))</f>
        <v>127</v>
      </c>
      <c r="C140" s="327"/>
      <c r="D140" s="479" t="s">
        <v>736</v>
      </c>
      <c r="E140" s="617" t="str">
        <f>IF(I140=0," ",ROUND(I140/10,0))</f>
        <v xml:space="preserve"> </v>
      </c>
      <c r="F140" s="299"/>
      <c r="G140" s="300"/>
      <c r="H140" s="275">
        <v>999</v>
      </c>
      <c r="I140" s="275"/>
      <c r="J140" s="275"/>
      <c r="K140" s="275"/>
      <c r="L140" s="303">
        <v>0</v>
      </c>
      <c r="M140" s="322">
        <v>0</v>
      </c>
      <c r="N140" s="274"/>
      <c r="O140" s="301"/>
      <c r="P140" s="274"/>
      <c r="Q140" s="301"/>
      <c r="R140" s="274"/>
      <c r="S140" s="301"/>
      <c r="T140" s="274"/>
      <c r="U140" s="301"/>
      <c r="V140" s="274">
        <v>303</v>
      </c>
      <c r="W140" s="274"/>
      <c r="X140" s="301"/>
      <c r="Y140" s="301"/>
      <c r="Z140" s="274">
        <v>1.6</v>
      </c>
      <c r="AA140" s="303"/>
      <c r="AB140" s="276"/>
      <c r="AC140" s="311"/>
      <c r="AD140" s="311"/>
      <c r="AE140" s="321"/>
      <c r="AF140" s="321"/>
      <c r="AG140" s="321"/>
      <c r="AH140" s="321"/>
      <c r="AI140" s="321"/>
      <c r="AJ140" s="321"/>
      <c r="AK140" s="311"/>
      <c r="AL140" s="311"/>
      <c r="AM140" s="311"/>
      <c r="AN140" s="321"/>
      <c r="AO140" s="321"/>
      <c r="AP140" s="321"/>
      <c r="AQ140" s="612">
        <f t="shared" si="148"/>
        <v>15257.599999999999</v>
      </c>
      <c r="AR140" s="847">
        <f>AR139/$V$139*V140</f>
        <v>16000.052438384899</v>
      </c>
      <c r="AS140" s="321"/>
      <c r="AT140" s="321"/>
      <c r="AU140" s="852"/>
      <c r="AV140" s="852"/>
      <c r="AW140" s="852"/>
      <c r="AX140" s="852"/>
      <c r="AY140" s="852"/>
      <c r="AZ140" s="303">
        <v>0.9</v>
      </c>
      <c r="BA140" s="321"/>
      <c r="BB140" s="321"/>
      <c r="BC140" s="303">
        <f t="shared" si="147"/>
        <v>0</v>
      </c>
      <c r="BD140" s="277"/>
      <c r="BE140" s="277"/>
      <c r="BF140" s="277"/>
      <c r="BG140" s="277"/>
      <c r="BH140" s="277"/>
      <c r="BI140" s="277"/>
      <c r="BJ140" s="277"/>
      <c r="BK140" s="277"/>
      <c r="BL140" s="277"/>
      <c r="BM140" s="277"/>
      <c r="BN140" s="277"/>
      <c r="BO140" s="277"/>
      <c r="BP140" s="277"/>
      <c r="BQ140" s="277"/>
      <c r="BR140" s="277"/>
      <c r="BS140" s="277"/>
      <c r="BT140" s="277"/>
      <c r="BU140" s="277"/>
      <c r="BV140" s="277"/>
      <c r="BW140" s="277"/>
      <c r="BX140" s="277"/>
      <c r="BY140" s="277"/>
      <c r="BZ140" s="277"/>
      <c r="CA140" s="277"/>
      <c r="CB140" s="277"/>
      <c r="CC140" s="277"/>
      <c r="CD140" s="277"/>
      <c r="CE140" s="277"/>
      <c r="CF140" s="277"/>
      <c r="CG140" s="277"/>
      <c r="CH140" s="277"/>
      <c r="CI140" s="277"/>
      <c r="CJ140" s="277"/>
      <c r="CK140" s="277"/>
      <c r="CL140" s="277"/>
      <c r="CM140" s="277"/>
      <c r="CN140" s="277"/>
      <c r="CO140" s="277"/>
      <c r="CP140" s="277"/>
      <c r="CQ140" s="277"/>
      <c r="CR140" s="277"/>
      <c r="CS140" s="277"/>
      <c r="CT140" s="277"/>
      <c r="CU140" s="277"/>
      <c r="CV140" s="277"/>
      <c r="CW140" s="277"/>
      <c r="CX140" s="277"/>
      <c r="CY140" s="277"/>
      <c r="CZ140" s="277"/>
      <c r="DA140" s="277"/>
      <c r="DB140" s="277"/>
      <c r="DC140" s="277"/>
      <c r="DD140" s="277"/>
      <c r="DE140" s="277"/>
      <c r="DF140" s="277"/>
      <c r="DG140" s="277"/>
      <c r="DH140" s="277"/>
      <c r="DI140" s="277"/>
      <c r="DJ140" s="277"/>
      <c r="DK140" s="277"/>
      <c r="DL140" s="277"/>
      <c r="DM140" s="277"/>
      <c r="DN140" s="277"/>
      <c r="DO140" s="277"/>
      <c r="DP140" s="277"/>
      <c r="DQ140" s="277"/>
      <c r="DR140" s="277"/>
      <c r="DS140" s="277"/>
      <c r="DT140" s="277"/>
      <c r="DU140" s="277"/>
      <c r="DV140" s="277"/>
      <c r="DW140" s="277"/>
      <c r="DX140" s="277"/>
      <c r="DY140" s="277"/>
      <c r="DZ140" s="277"/>
      <c r="EA140" s="277"/>
      <c r="EB140" s="277"/>
      <c r="EC140" s="277"/>
      <c r="ED140" s="277"/>
      <c r="EE140" s="277"/>
      <c r="EF140" s="277"/>
      <c r="EG140" s="277"/>
      <c r="EH140" s="277"/>
      <c r="EI140" s="277"/>
      <c r="EJ140" s="277"/>
      <c r="EK140" s="277"/>
      <c r="EL140" s="277"/>
      <c r="EM140" s="277"/>
    </row>
    <row r="141" spans="1:143" s="3" customFormat="1" ht="12.5" customHeight="1">
      <c r="A141" s="897" t="str">
        <f>IF(E141=" ",D141&amp;" "&amp;F141,D141&amp;" "&amp;E141&amp;"% RP "&amp;F141)</f>
        <v>Haferschälkleie 6% RP DLG 2014</v>
      </c>
      <c r="B141" s="298">
        <f>IF(D141=""," ",COUNTA($D$8:D141))</f>
        <v>128</v>
      </c>
      <c r="C141" s="327"/>
      <c r="D141" s="479" t="s">
        <v>971</v>
      </c>
      <c r="E141" s="617">
        <f>IF(I141=0," ",ROUND(I141/10,0))</f>
        <v>6</v>
      </c>
      <c r="F141" s="319" t="s">
        <v>969</v>
      </c>
      <c r="G141" s="300"/>
      <c r="H141" s="275">
        <v>900</v>
      </c>
      <c r="I141" s="275">
        <v>63</v>
      </c>
      <c r="J141" s="275">
        <f>0.9*I141</f>
        <v>56.7</v>
      </c>
      <c r="K141" s="275">
        <v>230</v>
      </c>
      <c r="L141" s="303">
        <f t="shared" ref="L141:L146" si="149">I141*0.0205*AV141+0.0398*AW141*AE141+0.0173*AF141+0.016*$AG141+0.0147*AI141</f>
        <v>5.4123710000000003</v>
      </c>
      <c r="M141" s="322">
        <f>IF(I141=""," ",$I141*0.021503+0.032497*$AE141+0.016309*$AF141+0.014701*$AJ141-0.021071*$K141)</f>
        <v>5.3727970000000003</v>
      </c>
      <c r="N141" s="274">
        <v>2.2999999999999998</v>
      </c>
      <c r="O141" s="301">
        <f>N141*0.88</f>
        <v>2.024</v>
      </c>
      <c r="P141" s="274">
        <f>1+0.8</f>
        <v>1.8</v>
      </c>
      <c r="Q141" s="301">
        <f>P141*(0.92+0.8*0.85)/1.8</f>
        <v>1.6</v>
      </c>
      <c r="R141" s="274">
        <v>2.7</v>
      </c>
      <c r="S141" s="301">
        <f>R141*0.87</f>
        <v>2.3490000000000002</v>
      </c>
      <c r="T141" s="274">
        <v>1.1000000000000001</v>
      </c>
      <c r="U141" s="301">
        <f>T141*0.89</f>
        <v>0.97900000000000009</v>
      </c>
      <c r="V141" s="274">
        <v>1.3</v>
      </c>
      <c r="W141" s="274">
        <v>1.5</v>
      </c>
      <c r="X141" s="301">
        <f>W141*0.25</f>
        <v>0.375</v>
      </c>
      <c r="Y141" s="301">
        <f>W141*0.65</f>
        <v>0.97500000000000009</v>
      </c>
      <c r="Z141" s="274">
        <v>1.3</v>
      </c>
      <c r="AA141" s="303">
        <v>0.3</v>
      </c>
      <c r="AB141" s="276">
        <v>9.1</v>
      </c>
      <c r="AC141" s="311">
        <v>1</v>
      </c>
      <c r="AD141" s="311">
        <f>AC141*0.92</f>
        <v>0.92</v>
      </c>
      <c r="AE141" s="321">
        <v>27</v>
      </c>
      <c r="AF141" s="321">
        <v>149</v>
      </c>
      <c r="AG141" s="321">
        <v>10</v>
      </c>
      <c r="AH141" s="321">
        <v>53</v>
      </c>
      <c r="AI141" s="612">
        <f>(H141-AH141)*AU141-I141*AV141-AE141*AW141-AF141-AG141</f>
        <v>67.789999999999992</v>
      </c>
      <c r="AJ141" s="321">
        <f>IF($I141=""," ",$H141-($AE141+$AF141+$AH141+$I141+$K141))</f>
        <v>378</v>
      </c>
      <c r="AK141" s="311">
        <v>11.1</v>
      </c>
      <c r="AL141" s="311"/>
      <c r="AM141" s="311"/>
      <c r="AN141" s="321"/>
      <c r="AO141" s="321"/>
      <c r="AP141" s="321"/>
      <c r="AQ141" s="612">
        <f t="shared" si="148"/>
        <v>224</v>
      </c>
      <c r="AR141" s="847">
        <f t="shared" ref="AR141:AR150" si="150">IF(H141="","",V141/1000*20140+Z141/1000*48600+1100/440*I141)</f>
        <v>246.86199999999999</v>
      </c>
      <c r="AS141" s="321">
        <f t="shared" ref="AS141:AS146" si="151">AX141*K141+AY141*AT141-AF141-AG141</f>
        <v>122.52000000000004</v>
      </c>
      <c r="AT141" s="321">
        <f t="shared" si="108"/>
        <v>527</v>
      </c>
      <c r="AU141" s="852">
        <v>0.35</v>
      </c>
      <c r="AV141" s="852">
        <v>0.9</v>
      </c>
      <c r="AW141" s="852">
        <v>0.48</v>
      </c>
      <c r="AX141" s="852">
        <v>0.17</v>
      </c>
      <c r="AY141" s="852">
        <v>0.46</v>
      </c>
      <c r="AZ141" s="1514">
        <v>3.1</v>
      </c>
      <c r="BA141" s="321">
        <v>375</v>
      </c>
      <c r="BB141" s="321">
        <v>713</v>
      </c>
      <c r="BC141" s="303">
        <f t="shared" si="147"/>
        <v>-3.5518581899999999</v>
      </c>
      <c r="BD141" s="277"/>
      <c r="BE141" s="277"/>
      <c r="BF141" s="277"/>
      <c r="BG141" s="277"/>
      <c r="BH141" s="277"/>
      <c r="BI141" s="277"/>
      <c r="BJ141" s="277"/>
      <c r="BK141" s="277"/>
      <c r="BL141" s="277"/>
      <c r="BM141" s="277"/>
      <c r="BN141" s="277"/>
      <c r="BO141" s="277"/>
      <c r="BP141" s="277"/>
      <c r="BQ141" s="277"/>
      <c r="BR141" s="277"/>
      <c r="BS141" s="277"/>
      <c r="BT141" s="277"/>
      <c r="BU141" s="277"/>
      <c r="BV141" s="277"/>
      <c r="BW141" s="277"/>
      <c r="BX141" s="277"/>
      <c r="BY141" s="277"/>
      <c r="BZ141" s="277"/>
      <c r="CA141" s="277"/>
      <c r="CB141" s="277"/>
      <c r="CC141" s="277"/>
      <c r="CD141" s="277"/>
      <c r="CE141" s="277"/>
      <c r="CF141" s="277"/>
      <c r="CG141" s="277"/>
      <c r="CH141" s="277"/>
      <c r="CI141" s="277"/>
      <c r="CJ141" s="277"/>
      <c r="CK141" s="277"/>
      <c r="CL141" s="277"/>
      <c r="CM141" s="277"/>
      <c r="CN141" s="277"/>
      <c r="CO141" s="277"/>
      <c r="CP141" s="277"/>
      <c r="CQ141" s="277"/>
      <c r="CR141" s="277"/>
      <c r="CS141" s="277"/>
      <c r="CT141" s="277"/>
      <c r="CU141" s="277"/>
      <c r="CV141" s="277"/>
      <c r="CW141" s="277"/>
      <c r="CX141" s="277"/>
      <c r="CY141" s="277"/>
      <c r="CZ141" s="277"/>
      <c r="DA141" s="277"/>
      <c r="DB141" s="277"/>
      <c r="DC141" s="277"/>
      <c r="DD141" s="277"/>
      <c r="DE141" s="277"/>
      <c r="DF141" s="277"/>
      <c r="DG141" s="277"/>
      <c r="DH141" s="277"/>
      <c r="DI141" s="277"/>
      <c r="DJ141" s="277"/>
      <c r="DK141" s="277"/>
      <c r="DL141" s="277"/>
      <c r="DM141" s="277"/>
      <c r="DN141" s="277"/>
      <c r="DO141" s="277"/>
      <c r="DP141" s="277"/>
      <c r="DQ141" s="277"/>
      <c r="DR141" s="277"/>
      <c r="DS141" s="277"/>
      <c r="DT141" s="277"/>
      <c r="DU141" s="277"/>
      <c r="DV141" s="277"/>
      <c r="DW141" s="277"/>
      <c r="DX141" s="277"/>
      <c r="DY141" s="277"/>
      <c r="DZ141" s="277"/>
      <c r="EA141" s="277"/>
      <c r="EB141" s="277"/>
      <c r="EC141" s="277"/>
      <c r="ED141" s="277"/>
      <c r="EE141" s="277"/>
      <c r="EF141" s="277"/>
      <c r="EG141" s="277"/>
      <c r="EH141" s="277"/>
      <c r="EI141" s="277"/>
      <c r="EJ141" s="277"/>
      <c r="EK141" s="277"/>
      <c r="EL141" s="277"/>
      <c r="EM141" s="277"/>
    </row>
    <row r="142" spans="1:143" s="3" customFormat="1" ht="12.5" customHeight="1">
      <c r="A142" s="897" t="str">
        <f>IF(E142=" ",D142&amp;" "&amp;F142,D142&amp;" "&amp;E142&amp;"% RP "&amp;F142)</f>
        <v>Heu Mitte bis Ende Blüte 11% RP DLG 2014</v>
      </c>
      <c r="B142" s="298">
        <f>IF(D142=""," ",COUNTA($D$8:D142))</f>
        <v>129</v>
      </c>
      <c r="C142" s="327"/>
      <c r="D142" s="479" t="s">
        <v>998</v>
      </c>
      <c r="E142" s="617">
        <f>IF(I142=0," ",ROUND(I142/10,0))</f>
        <v>11</v>
      </c>
      <c r="F142" s="319" t="s">
        <v>969</v>
      </c>
      <c r="G142" s="300"/>
      <c r="H142" s="275">
        <v>880</v>
      </c>
      <c r="I142" s="275">
        <v>106</v>
      </c>
      <c r="J142" s="275">
        <f>I142*0.48</f>
        <v>50.879999999999995</v>
      </c>
      <c r="K142" s="275">
        <v>246</v>
      </c>
      <c r="L142" s="303">
        <f t="shared" si="149"/>
        <v>6.1480899999999998</v>
      </c>
      <c r="M142" s="322">
        <f>IF(I142=""," ",$I142*0.021503+0.032497*$AE142+0.016309*$AF142+0.014701*$AJ142-0.021071*$K142)</f>
        <v>4.1825089999999987</v>
      </c>
      <c r="N142" s="274">
        <f>IF(I142=0," ",(I142/H142*880*0.0455-0.09)/880*H142)</f>
        <v>4.7329999999999997</v>
      </c>
      <c r="O142" s="301">
        <f>IF(N142=" "," ",N142*0.31)</f>
        <v>1.4672299999999998</v>
      </c>
      <c r="P142" s="274">
        <f>IF(N142=" "," ",(I142/H142*880*0.0258+0.03)/880*H142)</f>
        <v>2.7647999999999997</v>
      </c>
      <c r="Q142" s="301">
        <f>IF(N142=" "," ",P142*(1.9*0.71+1.3*0.29)/3.2)</f>
        <v>1.4912639999999999</v>
      </c>
      <c r="R142" s="274">
        <f>IF(N142=" "," ",(I142/H142*880*0.0383+0.31)/880*H142)</f>
        <v>4.3697999999999997</v>
      </c>
      <c r="S142" s="301">
        <f>IF(N142=" "," ",R142*0.41)</f>
        <v>1.7916179999999997</v>
      </c>
      <c r="T142" s="274">
        <f>IF(N142=" "," ",(I142/H142*880*0.0152-0.02)/880*H142)</f>
        <v>1.5911999999999999</v>
      </c>
      <c r="U142" s="301">
        <f>IF(N142=" "," ",T142*0.48)</f>
        <v>0.7637759999999999</v>
      </c>
      <c r="V142" s="274">
        <v>4</v>
      </c>
      <c r="W142" s="274">
        <v>2.6</v>
      </c>
      <c r="X142" s="301">
        <f>W142*0.2</f>
        <v>0.52</v>
      </c>
      <c r="Y142" s="301">
        <f>W142*0.65</f>
        <v>1.6900000000000002</v>
      </c>
      <c r="Z142" s="274">
        <v>1.6</v>
      </c>
      <c r="AA142" s="303">
        <v>0.43</v>
      </c>
      <c r="AB142" s="276">
        <v>18.5</v>
      </c>
      <c r="AC142" s="311">
        <f>IF($I142=""," ",($I142/H142*880*0.0151+0.05)/880*H142)</f>
        <v>1.6506000000000001</v>
      </c>
      <c r="AD142" s="311">
        <f>AC142*0.71</f>
        <v>1.171926</v>
      </c>
      <c r="AE142" s="321">
        <v>24</v>
      </c>
      <c r="AF142" s="321"/>
      <c r="AG142" s="321">
        <v>88</v>
      </c>
      <c r="AH142" s="321">
        <v>75</v>
      </c>
      <c r="AI142" s="612">
        <f>(H142-AH142)*AU142-I142*AV142-AE142*AW142-AF142-AG142</f>
        <v>219.66000000000003</v>
      </c>
      <c r="AJ142" s="321">
        <f>IF($I142=""," ",$H142-($AE142+$AF142+$AH142+$I142+$K142))</f>
        <v>429</v>
      </c>
      <c r="AK142" s="311">
        <v>7.2</v>
      </c>
      <c r="AL142" s="311"/>
      <c r="AM142" s="311"/>
      <c r="AN142" s="321"/>
      <c r="AO142" s="321"/>
      <c r="AP142" s="321"/>
      <c r="AQ142" s="612">
        <f t="shared" si="148"/>
        <v>367.4095999999999</v>
      </c>
      <c r="AR142" s="847">
        <f t="shared" si="150"/>
        <v>423.32</v>
      </c>
      <c r="AS142" s="321">
        <f t="shared" si="151"/>
        <v>297.89</v>
      </c>
      <c r="AT142" s="321">
        <f t="shared" si="108"/>
        <v>429</v>
      </c>
      <c r="AU142" s="852">
        <v>0.46</v>
      </c>
      <c r="AV142" s="852">
        <v>0.48</v>
      </c>
      <c r="AW142" s="852">
        <v>0.49</v>
      </c>
      <c r="AX142" s="852">
        <v>0.47</v>
      </c>
      <c r="AY142" s="852">
        <v>0.63</v>
      </c>
      <c r="AZ142" s="303">
        <f>11.2*H142/1000</f>
        <v>9.8559999999999999</v>
      </c>
      <c r="BA142" s="321">
        <v>317</v>
      </c>
      <c r="BB142" s="321">
        <v>458</v>
      </c>
      <c r="BC142" s="303">
        <f t="shared" si="147"/>
        <v>-8.6807684300000005</v>
      </c>
      <c r="BD142" s="277"/>
      <c r="BE142" s="277"/>
      <c r="BF142" s="277"/>
      <c r="BG142" s="277"/>
      <c r="BH142" s="277"/>
      <c r="BI142" s="277"/>
      <c r="BJ142" s="277"/>
      <c r="BK142" s="277"/>
      <c r="BL142" s="277"/>
      <c r="BM142" s="277"/>
      <c r="BN142" s="277"/>
      <c r="BO142" s="277"/>
      <c r="BP142" s="277"/>
      <c r="BQ142" s="277"/>
      <c r="BR142" s="277"/>
      <c r="BS142" s="277"/>
      <c r="BT142" s="277"/>
      <c r="BU142" s="277"/>
      <c r="BV142" s="277"/>
      <c r="BW142" s="277"/>
      <c r="BX142" s="277"/>
      <c r="BY142" s="277"/>
      <c r="BZ142" s="277"/>
      <c r="CA142" s="277"/>
      <c r="CB142" s="277"/>
      <c r="CC142" s="277"/>
      <c r="CD142" s="277"/>
      <c r="CE142" s="277"/>
      <c r="CF142" s="277"/>
      <c r="CG142" s="277"/>
      <c r="CH142" s="277"/>
      <c r="CI142" s="277"/>
      <c r="CJ142" s="277"/>
      <c r="CK142" s="277"/>
      <c r="CL142" s="277"/>
      <c r="CM142" s="277"/>
      <c r="CN142" s="277"/>
      <c r="CO142" s="277"/>
      <c r="CP142" s="277"/>
      <c r="CQ142" s="277"/>
      <c r="CR142" s="277"/>
      <c r="CS142" s="277"/>
      <c r="CT142" s="277"/>
      <c r="CU142" s="277"/>
      <c r="CV142" s="277"/>
      <c r="CW142" s="277"/>
      <c r="CX142" s="277"/>
      <c r="CY142" s="277"/>
      <c r="CZ142" s="277"/>
      <c r="DA142" s="277"/>
      <c r="DB142" s="277"/>
      <c r="DC142" s="277"/>
      <c r="DD142" s="277"/>
      <c r="DE142" s="277"/>
      <c r="DF142" s="277"/>
      <c r="DG142" s="277"/>
      <c r="DH142" s="277"/>
      <c r="DI142" s="277"/>
      <c r="DJ142" s="277"/>
      <c r="DK142" s="277"/>
      <c r="DL142" s="277"/>
      <c r="DM142" s="277"/>
      <c r="DN142" s="277"/>
      <c r="DO142" s="277"/>
      <c r="DP142" s="277"/>
      <c r="DQ142" s="277"/>
      <c r="DR142" s="277"/>
      <c r="DS142" s="277"/>
      <c r="DT142" s="277"/>
      <c r="DU142" s="277"/>
      <c r="DV142" s="277"/>
      <c r="DW142" s="277"/>
      <c r="DX142" s="277"/>
      <c r="DY142" s="277"/>
      <c r="DZ142" s="277"/>
      <c r="EA142" s="277"/>
      <c r="EB142" s="277"/>
      <c r="EC142" s="277"/>
      <c r="ED142" s="277"/>
      <c r="EE142" s="277"/>
      <c r="EF142" s="277"/>
      <c r="EG142" s="277"/>
      <c r="EH142" s="277"/>
      <c r="EI142" s="277"/>
      <c r="EJ142" s="277"/>
      <c r="EK142" s="277"/>
      <c r="EL142" s="277"/>
      <c r="EM142" s="277"/>
    </row>
    <row r="143" spans="1:143" s="384" customFormat="1" ht="12" customHeight="1">
      <c r="A143" s="897" t="str">
        <f t="shared" si="142"/>
        <v xml:space="preserve">Lignocellulose (Faserkonzentrat) 1% RP </v>
      </c>
      <c r="B143" s="298">
        <f>IF(D143=""," ",COUNTA($D$8:D143))</f>
        <v>130</v>
      </c>
      <c r="C143" s="375"/>
      <c r="D143" s="893" t="s">
        <v>635</v>
      </c>
      <c r="E143" s="617">
        <f t="shared" si="107"/>
        <v>1</v>
      </c>
      <c r="F143" s="376"/>
      <c r="G143" s="377"/>
      <c r="H143" s="378">
        <v>927</v>
      </c>
      <c r="I143" s="378">
        <v>12</v>
      </c>
      <c r="J143" s="378">
        <f>I143*0.45</f>
        <v>5.4</v>
      </c>
      <c r="K143" s="378">
        <v>671</v>
      </c>
      <c r="L143" s="303">
        <f t="shared" si="149"/>
        <v>0</v>
      </c>
      <c r="M143" s="611">
        <v>0</v>
      </c>
      <c r="N143" s="379"/>
      <c r="O143" s="380"/>
      <c r="P143" s="379"/>
      <c r="Q143" s="380"/>
      <c r="R143" s="379"/>
      <c r="S143" s="380"/>
      <c r="T143" s="379"/>
      <c r="U143" s="380"/>
      <c r="V143" s="379"/>
      <c r="W143" s="379"/>
      <c r="X143" s="380"/>
      <c r="Y143" s="380"/>
      <c r="Z143" s="379"/>
      <c r="AA143" s="381"/>
      <c r="AB143" s="382"/>
      <c r="AC143" s="610"/>
      <c r="AD143" s="610"/>
      <c r="AE143" s="612">
        <v>2</v>
      </c>
      <c r="AF143" s="612"/>
      <c r="AG143" s="612"/>
      <c r="AH143" s="612">
        <v>4</v>
      </c>
      <c r="AI143" s="612"/>
      <c r="AJ143" s="612"/>
      <c r="AK143" s="610"/>
      <c r="AL143" s="610"/>
      <c r="AM143" s="610"/>
      <c r="AN143" s="612"/>
      <c r="AO143" s="612"/>
      <c r="AP143" s="612"/>
      <c r="AQ143" s="612">
        <f t="shared" si="148"/>
        <v>0</v>
      </c>
      <c r="AR143" s="847">
        <f t="shared" si="150"/>
        <v>30</v>
      </c>
      <c r="AS143" s="321">
        <f t="shared" si="151"/>
        <v>188.25000000000003</v>
      </c>
      <c r="AT143" s="321">
        <f t="shared" si="108"/>
        <v>238</v>
      </c>
      <c r="AU143" s="852"/>
      <c r="AV143" s="852"/>
      <c r="AW143" s="852"/>
      <c r="AX143" s="852">
        <v>0.05</v>
      </c>
      <c r="AY143" s="852">
        <v>0.65</v>
      </c>
      <c r="AZ143" s="303">
        <f>(0.93*23*AA143)/35.5+Z143</f>
        <v>0</v>
      </c>
      <c r="BA143" s="321">
        <v>700</v>
      </c>
      <c r="BB143" s="321">
        <v>820</v>
      </c>
      <c r="BC143" s="303">
        <f t="shared" si="147"/>
        <v>-27.737000000000002</v>
      </c>
      <c r="BD143" s="383"/>
      <c r="BE143" s="383"/>
      <c r="BF143" s="383"/>
      <c r="BG143" s="383"/>
      <c r="BH143" s="383"/>
      <c r="BI143" s="383"/>
      <c r="BJ143" s="383"/>
      <c r="BK143" s="383"/>
      <c r="BL143" s="383"/>
      <c r="BM143" s="383"/>
      <c r="BN143" s="383"/>
      <c r="BO143" s="383"/>
      <c r="BP143" s="383"/>
      <c r="BQ143" s="383"/>
      <c r="BR143" s="383"/>
      <c r="BS143" s="383"/>
      <c r="BT143" s="383"/>
      <c r="BU143" s="383"/>
      <c r="BV143" s="383"/>
      <c r="BW143" s="383"/>
      <c r="BX143" s="383"/>
      <c r="BY143" s="383"/>
      <c r="BZ143" s="383"/>
      <c r="CA143" s="383"/>
      <c r="CB143" s="383"/>
      <c r="CC143" s="383"/>
      <c r="CD143" s="383"/>
      <c r="CE143" s="383"/>
      <c r="CF143" s="383"/>
      <c r="CG143" s="383"/>
      <c r="CH143" s="383"/>
      <c r="CI143" s="383"/>
      <c r="CJ143" s="383"/>
      <c r="CK143" s="383"/>
      <c r="CL143" s="383"/>
      <c r="CM143" s="383"/>
      <c r="CN143" s="383"/>
      <c r="CO143" s="383"/>
      <c r="CP143" s="383"/>
      <c r="CQ143" s="383"/>
      <c r="CR143" s="383"/>
      <c r="CS143" s="383"/>
      <c r="CT143" s="383"/>
      <c r="CU143" s="383"/>
      <c r="CV143" s="383"/>
      <c r="CW143" s="383"/>
      <c r="CX143" s="383"/>
      <c r="CY143" s="383"/>
      <c r="CZ143" s="383"/>
      <c r="DA143" s="383"/>
      <c r="DB143" s="383"/>
      <c r="DC143" s="383"/>
      <c r="DD143" s="383"/>
      <c r="DE143" s="383"/>
      <c r="DF143" s="383"/>
      <c r="DG143" s="383"/>
      <c r="DH143" s="383"/>
      <c r="DI143" s="383"/>
      <c r="DJ143" s="383"/>
      <c r="DK143" s="383"/>
      <c r="DL143" s="383"/>
      <c r="DM143" s="383"/>
      <c r="DN143" s="383"/>
      <c r="DO143" s="383"/>
      <c r="DP143" s="383"/>
      <c r="DQ143" s="383"/>
      <c r="DR143" s="383"/>
      <c r="DS143" s="383"/>
      <c r="DT143" s="383"/>
      <c r="DU143" s="383"/>
      <c r="DV143" s="383"/>
      <c r="DW143" s="383"/>
      <c r="DX143" s="383"/>
      <c r="DY143" s="383"/>
      <c r="DZ143" s="383"/>
      <c r="EA143" s="383"/>
      <c r="EB143" s="383"/>
      <c r="EC143" s="383"/>
      <c r="ED143" s="383"/>
      <c r="EE143" s="383"/>
      <c r="EF143" s="383"/>
      <c r="EG143" s="383"/>
      <c r="EH143" s="383"/>
      <c r="EI143" s="383"/>
      <c r="EJ143" s="383"/>
      <c r="EK143" s="383"/>
      <c r="EL143" s="383"/>
      <c r="EM143" s="383"/>
    </row>
    <row r="144" spans="1:143" s="3" customFormat="1" ht="12.5" customHeight="1">
      <c r="A144" s="897" t="str">
        <f>IF(E144=" ",D144&amp;" "&amp;F144,D144&amp;" "&amp;E144&amp;"% RP "&amp;F144)</f>
        <v>Luzerne, frisch 4% RP DLG 2014</v>
      </c>
      <c r="B144" s="298">
        <f>IF(D144=""," ",COUNTA($D$8:D144))</f>
        <v>131</v>
      </c>
      <c r="C144" s="327"/>
      <c r="D144" s="479" t="s">
        <v>991</v>
      </c>
      <c r="E144" s="617">
        <f>IF(I144=0," ",ROUND(I144/10,0))</f>
        <v>4</v>
      </c>
      <c r="F144" s="299" t="s">
        <v>969</v>
      </c>
      <c r="G144" s="300"/>
      <c r="H144" s="275">
        <v>170</v>
      </c>
      <c r="I144" s="275">
        <v>37</v>
      </c>
      <c r="J144" s="275">
        <f>I144*0.47</f>
        <v>17.39</v>
      </c>
      <c r="K144" s="275">
        <v>43</v>
      </c>
      <c r="L144" s="303">
        <f t="shared" si="149"/>
        <v>1.558573</v>
      </c>
      <c r="M144" s="322">
        <f>IF(I144=""," ",$I144*0.021503+0.032497*$AE144+0.016309*$AF144+0.014701*$AJ144-0.021071*$K144)</f>
        <v>1.0223090000000001</v>
      </c>
      <c r="N144" s="274">
        <f>IF(I144=0," ",(I144/H144*880*0.0446-0.17)/880*H144)</f>
        <v>1.6173590909090911</v>
      </c>
      <c r="O144" s="301">
        <f>IF(N144=" "," ",N144*0.5)</f>
        <v>0.80867954545454557</v>
      </c>
      <c r="P144" s="274">
        <f>IF(N144=" "," ",(I144/H144*880*0.0213+0.3)/880*H144)</f>
        <v>0.8460545454545455</v>
      </c>
      <c r="Q144" s="301">
        <f>IF(N144=" "," ",P144*(0.5*0.75+0.4*0.1)/0.9)</f>
        <v>0.39012515151515159</v>
      </c>
      <c r="R144" s="274">
        <f>IF(N144=" "," ",(I144/H144*880*0.0405-0.22)/880*H144)</f>
        <v>1.456</v>
      </c>
      <c r="S144" s="301">
        <f>IF(N144=" "," ",R144*0.6)</f>
        <v>0.87359999999999993</v>
      </c>
      <c r="T144" s="274">
        <f>IF(N144=" "," ",(I144/H144*880*0.02-0.97)/880*H144)</f>
        <v>0.55261363636363636</v>
      </c>
      <c r="U144" s="301">
        <f>IF(N144=" "," ",T144*0.55)</f>
        <v>0.30393750000000003</v>
      </c>
      <c r="V144" s="274">
        <v>3.1</v>
      </c>
      <c r="W144" s="274">
        <v>0.5</v>
      </c>
      <c r="X144" s="301">
        <f>W144*0.5</f>
        <v>0.25</v>
      </c>
      <c r="Y144" s="301">
        <f>W144*0.65</f>
        <v>0.32500000000000001</v>
      </c>
      <c r="Z144" s="274">
        <v>0.5</v>
      </c>
      <c r="AA144" s="303">
        <v>0.1</v>
      </c>
      <c r="AB144" s="276">
        <f>AB146/H146*H144</f>
        <v>4.0422222222222217</v>
      </c>
      <c r="AC144" s="311">
        <f>IF($I144=""," ",($I144/H144*880*0.012+0.13)/880*H144)</f>
        <v>0.46911363636363634</v>
      </c>
      <c r="AD144" s="311">
        <f>AC144*0.75</f>
        <v>0.35183522727272726</v>
      </c>
      <c r="AE144" s="321">
        <v>5</v>
      </c>
      <c r="AF144" s="321"/>
      <c r="AG144" s="321">
        <v>7</v>
      </c>
      <c r="AH144" s="321">
        <v>19</v>
      </c>
      <c r="AI144" s="612">
        <f>(H144-AH144)*AU144-I144*AV144-AE144*AW144-AF144-AG144</f>
        <v>68.739999999999995</v>
      </c>
      <c r="AJ144" s="321">
        <f t="shared" ref="AJ144:AJ150" si="152">IF($I144=""," ",$H144-($AE144+$AF144+$AH144+$I144+$K144))</f>
        <v>66</v>
      </c>
      <c r="AK144" s="311">
        <v>8.4</v>
      </c>
      <c r="AL144" s="311"/>
      <c r="AM144" s="311"/>
      <c r="AN144" s="321"/>
      <c r="AO144" s="321"/>
      <c r="AP144" s="321"/>
      <c r="AQ144" s="612">
        <f>IF(H144="","",50*V144+83*Z144+26*AB144+44*AA144-59*W144-13*P144-28*AZ144)</f>
        <v>236.93906868686867</v>
      </c>
      <c r="AR144" s="847">
        <f>IF(H144="","",V144/1000*20140+Z144/1000*48600+1100/440*I144)</f>
        <v>179.23399999999998</v>
      </c>
      <c r="AS144" s="321">
        <f t="shared" si="151"/>
        <v>52.010000000000005</v>
      </c>
      <c r="AT144" s="321">
        <f t="shared" si="108"/>
        <v>66</v>
      </c>
      <c r="AU144" s="852">
        <v>0.63</v>
      </c>
      <c r="AV144" s="852">
        <v>0.47</v>
      </c>
      <c r="AW144" s="852">
        <v>0.4</v>
      </c>
      <c r="AX144" s="852">
        <v>0.39</v>
      </c>
      <c r="AY144" s="852">
        <v>0.64</v>
      </c>
      <c r="AZ144" s="303">
        <f>6*H144/1000</f>
        <v>1.02</v>
      </c>
      <c r="BA144" s="321">
        <v>56</v>
      </c>
      <c r="BB144" s="321">
        <v>70</v>
      </c>
      <c r="BC144" s="303">
        <f t="shared" si="147"/>
        <v>-1.7777144300000001</v>
      </c>
      <c r="BD144" s="277"/>
      <c r="BE144" s="277"/>
      <c r="BF144" s="277"/>
      <c r="BG144" s="277"/>
      <c r="BH144" s="277"/>
      <c r="BI144" s="277"/>
      <c r="BJ144" s="277"/>
      <c r="BK144" s="277"/>
      <c r="BL144" s="277"/>
      <c r="BM144" s="277"/>
      <c r="BN144" s="277"/>
      <c r="BO144" s="277"/>
      <c r="BP144" s="277"/>
      <c r="BQ144" s="277"/>
      <c r="BR144" s="277"/>
      <c r="BS144" s="277"/>
      <c r="BT144" s="277"/>
      <c r="BU144" s="277"/>
      <c r="BV144" s="277"/>
      <c r="BW144" s="277"/>
      <c r="BX144" s="277"/>
      <c r="BY144" s="277"/>
      <c r="BZ144" s="277"/>
      <c r="CA144" s="277"/>
      <c r="CB144" s="277"/>
      <c r="CC144" s="277"/>
      <c r="CD144" s="277"/>
      <c r="CE144" s="277"/>
      <c r="CF144" s="277"/>
      <c r="CG144" s="277"/>
      <c r="CH144" s="277"/>
      <c r="CI144" s="277"/>
      <c r="CJ144" s="277"/>
      <c r="CK144" s="277"/>
      <c r="CL144" s="277"/>
      <c r="CM144" s="277"/>
      <c r="CN144" s="277"/>
      <c r="CO144" s="277"/>
      <c r="CP144" s="277"/>
      <c r="CQ144" s="277"/>
      <c r="CR144" s="277"/>
      <c r="CS144" s="277"/>
      <c r="CT144" s="277"/>
      <c r="CU144" s="277"/>
      <c r="CV144" s="277"/>
      <c r="CW144" s="277"/>
      <c r="CX144" s="277"/>
      <c r="CY144" s="277"/>
      <c r="CZ144" s="277"/>
      <c r="DA144" s="277"/>
      <c r="DB144" s="277"/>
      <c r="DC144" s="277"/>
      <c r="DD144" s="277"/>
      <c r="DE144" s="277"/>
      <c r="DF144" s="277"/>
      <c r="DG144" s="277"/>
      <c r="DH144" s="277"/>
      <c r="DI144" s="277"/>
      <c r="DJ144" s="277"/>
      <c r="DK144" s="277"/>
      <c r="DL144" s="277"/>
      <c r="DM144" s="277"/>
      <c r="DN144" s="277"/>
      <c r="DO144" s="277"/>
      <c r="DP144" s="277"/>
      <c r="DQ144" s="277"/>
      <c r="DR144" s="277"/>
      <c r="DS144" s="277"/>
      <c r="DT144" s="277"/>
      <c r="DU144" s="277"/>
      <c r="DV144" s="277"/>
      <c r="DW144" s="277"/>
      <c r="DX144" s="277"/>
      <c r="DY144" s="277"/>
      <c r="DZ144" s="277"/>
      <c r="EA144" s="277"/>
      <c r="EB144" s="277"/>
      <c r="EC144" s="277"/>
      <c r="ED144" s="277"/>
      <c r="EE144" s="277"/>
      <c r="EF144" s="277"/>
      <c r="EG144" s="277"/>
      <c r="EH144" s="277"/>
      <c r="EI144" s="277"/>
      <c r="EJ144" s="277"/>
      <c r="EK144" s="277"/>
      <c r="EL144" s="277"/>
      <c r="EM144" s="277"/>
    </row>
    <row r="145" spans="1:143" s="3" customFormat="1" ht="12.5" customHeight="1">
      <c r="A145" s="897" t="str">
        <f t="shared" si="142"/>
        <v>Luzernegrünmehl jung unter 23% XF 20% RP DLG 2005</v>
      </c>
      <c r="B145" s="298">
        <f>IF(D145=""," ",COUNTA($D$8:D145))</f>
        <v>132</v>
      </c>
      <c r="C145" s="327"/>
      <c r="D145" s="479" t="s">
        <v>990</v>
      </c>
      <c r="E145" s="617">
        <f>IF(I145=0," ",ROUND(I145/10,0))</f>
        <v>20</v>
      </c>
      <c r="F145" s="299" t="s">
        <v>979</v>
      </c>
      <c r="G145" s="300"/>
      <c r="H145" s="275">
        <v>900</v>
      </c>
      <c r="I145" s="275">
        <v>196</v>
      </c>
      <c r="J145" s="275">
        <f>I145*0.45</f>
        <v>88.2</v>
      </c>
      <c r="K145" s="275">
        <v>200</v>
      </c>
      <c r="L145" s="303">
        <f t="shared" si="149"/>
        <v>7.2117190000000004</v>
      </c>
      <c r="M145" s="322">
        <f t="shared" ref="M145:M150" si="153">IF(I145=""," ",$I145*0.021503+0.032497*$AE145+0.016309*$AF145+0.014701*$AJ145-0.021071*$K145)</f>
        <v>6.3649941999999999</v>
      </c>
      <c r="N145" s="274">
        <f>IF(I145=0," ",(I145/H145*880*0.0446-0.17)/880*H145)</f>
        <v>8.5677363636363655</v>
      </c>
      <c r="O145" s="301">
        <f>IF(N145=" "," ",N145*0.46)</f>
        <v>3.9411587272727284</v>
      </c>
      <c r="P145" s="274">
        <f>IF(N145=" "," ",(I145/H145*880*0.0213+0.3)/880*H145)</f>
        <v>4.4816181818181819</v>
      </c>
      <c r="Q145" s="301">
        <f>IF(N145=" "," ",P145*(2.3*0.75+1.8*0.09)/4.1)</f>
        <v>2.062637441241685</v>
      </c>
      <c r="R145" s="274">
        <f>IF(N145=" "," ",(I145/H145*880*0.0405-0.22)/880*H145)</f>
        <v>7.713000000000001</v>
      </c>
      <c r="S145" s="301">
        <f>IF(N145=" "," ",R145*0.55)</f>
        <v>4.2421500000000005</v>
      </c>
      <c r="T145" s="274">
        <f>IF(N145=" "," ",(I145/H145*880*0.02-0.97)/880*H145)</f>
        <v>2.9279545454545453</v>
      </c>
      <c r="U145" s="301">
        <f>IF(N145=" "," ",T145*0.54)</f>
        <v>1.5810954545454545</v>
      </c>
      <c r="V145" s="274">
        <v>15.4</v>
      </c>
      <c r="W145" s="274">
        <v>2.6</v>
      </c>
      <c r="X145" s="301">
        <f>0.5*W145</f>
        <v>1.3</v>
      </c>
      <c r="Y145" s="301">
        <f>W145*0.65</f>
        <v>1.6900000000000002</v>
      </c>
      <c r="Z145" s="274">
        <v>2.8</v>
      </c>
      <c r="AA145" s="303">
        <v>0.9</v>
      </c>
      <c r="AB145" s="276">
        <v>21.4</v>
      </c>
      <c r="AC145" s="311">
        <f>IF($I145=""," ",($I145/H145*880*0.012+0.13)/880*H145)</f>
        <v>2.4849545454545452</v>
      </c>
      <c r="AD145" s="311">
        <f>AC145*0.72</f>
        <v>1.7891672727272725</v>
      </c>
      <c r="AE145" s="321">
        <v>32</v>
      </c>
      <c r="AF145" s="321"/>
      <c r="AG145" s="321">
        <v>48</v>
      </c>
      <c r="AH145" s="321">
        <f>122*H145/1000</f>
        <v>109.8</v>
      </c>
      <c r="AI145" s="612">
        <f>(H145-AH145)*AU145-I145*AV145-AE145*AW145-AF145-AG145</f>
        <v>288.49000000000007</v>
      </c>
      <c r="AJ145" s="321">
        <f t="shared" si="152"/>
        <v>362.20000000000005</v>
      </c>
      <c r="AK145" s="311">
        <v>8.4</v>
      </c>
      <c r="AL145" s="311"/>
      <c r="AM145" s="311"/>
      <c r="AN145" s="321"/>
      <c r="AO145" s="321"/>
      <c r="AP145" s="321"/>
      <c r="AQ145" s="612">
        <f t="shared" si="148"/>
        <v>1235.5389636363634</v>
      </c>
      <c r="AR145" s="847">
        <f t="shared" si="150"/>
        <v>936.23599999999999</v>
      </c>
      <c r="AS145" s="321">
        <f t="shared" si="151"/>
        <v>261.80799999999999</v>
      </c>
      <c r="AT145" s="321">
        <f t="shared" si="108"/>
        <v>362.20000000000005</v>
      </c>
      <c r="AU145" s="852">
        <v>0.55000000000000004</v>
      </c>
      <c r="AV145" s="852">
        <v>0.45</v>
      </c>
      <c r="AW145" s="852">
        <v>0.31</v>
      </c>
      <c r="AX145" s="852">
        <v>0.39</v>
      </c>
      <c r="AY145" s="852">
        <v>0.64</v>
      </c>
      <c r="AZ145" s="303">
        <f>6*H145/1000</f>
        <v>5.4</v>
      </c>
      <c r="BA145" s="321">
        <f>289*H145/900*K145/K146</f>
        <v>243.88185654008439</v>
      </c>
      <c r="BB145" s="321">
        <f>392*H145/900*K145/K146</f>
        <v>330.80168776371306</v>
      </c>
      <c r="BC145" s="303">
        <f t="shared" si="147"/>
        <v>-7.2815542340000015</v>
      </c>
      <c r="BD145" s="277"/>
      <c r="BE145" s="277"/>
      <c r="BF145" s="277"/>
      <c r="BG145" s="277"/>
      <c r="BH145" s="277"/>
      <c r="BI145" s="277"/>
      <c r="BJ145" s="277"/>
      <c r="BK145" s="277"/>
      <c r="BL145" s="277"/>
      <c r="BM145" s="277"/>
      <c r="BN145" s="277"/>
      <c r="BO145" s="277"/>
      <c r="BP145" s="277"/>
      <c r="BQ145" s="277"/>
      <c r="BR145" s="277"/>
      <c r="BS145" s="277"/>
      <c r="BT145" s="277"/>
      <c r="BU145" s="277"/>
      <c r="BV145" s="277"/>
      <c r="BW145" s="277"/>
      <c r="BX145" s="277"/>
      <c r="BY145" s="277"/>
      <c r="BZ145" s="277"/>
      <c r="CA145" s="277"/>
      <c r="CB145" s="277"/>
      <c r="CC145" s="277"/>
      <c r="CD145" s="277"/>
      <c r="CE145" s="277"/>
      <c r="CF145" s="277"/>
      <c r="CG145" s="277"/>
      <c r="CH145" s="277"/>
      <c r="CI145" s="277"/>
      <c r="CJ145" s="277"/>
      <c r="CK145" s="277"/>
      <c r="CL145" s="277"/>
      <c r="CM145" s="277"/>
      <c r="CN145" s="277"/>
      <c r="CO145" s="277"/>
      <c r="CP145" s="277"/>
      <c r="CQ145" s="277"/>
      <c r="CR145" s="277"/>
      <c r="CS145" s="277"/>
      <c r="CT145" s="277"/>
      <c r="CU145" s="277"/>
      <c r="CV145" s="277"/>
      <c r="CW145" s="277"/>
      <c r="CX145" s="277"/>
      <c r="CY145" s="277"/>
      <c r="CZ145" s="277"/>
      <c r="DA145" s="277"/>
      <c r="DB145" s="277"/>
      <c r="DC145" s="277"/>
      <c r="DD145" s="277"/>
      <c r="DE145" s="277"/>
      <c r="DF145" s="277"/>
      <c r="DG145" s="277"/>
      <c r="DH145" s="277"/>
      <c r="DI145" s="277"/>
      <c r="DJ145" s="277"/>
      <c r="DK145" s="277"/>
      <c r="DL145" s="277"/>
      <c r="DM145" s="277"/>
      <c r="DN145" s="277"/>
      <c r="DO145" s="277"/>
      <c r="DP145" s="277"/>
      <c r="DQ145" s="277"/>
      <c r="DR145" s="277"/>
      <c r="DS145" s="277"/>
      <c r="DT145" s="277"/>
      <c r="DU145" s="277"/>
      <c r="DV145" s="277"/>
      <c r="DW145" s="277"/>
      <c r="DX145" s="277"/>
      <c r="DY145" s="277"/>
      <c r="DZ145" s="277"/>
      <c r="EA145" s="277"/>
      <c r="EB145" s="277"/>
      <c r="EC145" s="277"/>
      <c r="ED145" s="277"/>
      <c r="EE145" s="277"/>
      <c r="EF145" s="277"/>
      <c r="EG145" s="277"/>
      <c r="EH145" s="277"/>
      <c r="EI145" s="277"/>
      <c r="EJ145" s="277"/>
      <c r="EK145" s="277"/>
      <c r="EL145" s="277"/>
      <c r="EM145" s="277"/>
    </row>
    <row r="146" spans="1:143" s="3" customFormat="1" ht="12.5" customHeight="1">
      <c r="A146" s="897" t="str">
        <f t="shared" si="142"/>
        <v>Luzernegrünmehl älter über 23% XF 17% RP DLG 2014</v>
      </c>
      <c r="B146" s="298">
        <f>IF(D146=""," ",COUNTA($D$8:D146))</f>
        <v>133</v>
      </c>
      <c r="C146" s="327"/>
      <c r="D146" s="479" t="s">
        <v>989</v>
      </c>
      <c r="E146" s="617">
        <f>IF(I146=0," ",ROUND(I146/10,0))</f>
        <v>17</v>
      </c>
      <c r="F146" s="299" t="s">
        <v>969</v>
      </c>
      <c r="G146" s="300"/>
      <c r="H146" s="275">
        <v>900</v>
      </c>
      <c r="I146" s="275">
        <v>167</v>
      </c>
      <c r="J146" s="275">
        <f>I146*0.45</f>
        <v>75.150000000000006</v>
      </c>
      <c r="K146" s="275">
        <v>237</v>
      </c>
      <c r="L146" s="303">
        <f t="shared" si="149"/>
        <v>7.1883229999999996</v>
      </c>
      <c r="M146" s="322">
        <f t="shared" si="153"/>
        <v>4.9317590000000013</v>
      </c>
      <c r="N146" s="274">
        <f>IF(I146=0," ",(I146/H146*880*0.0446-0.17)/880*H146)</f>
        <v>7.2743363636363636</v>
      </c>
      <c r="O146" s="301">
        <f>IF(N146=" "," ",N146*0.46)</f>
        <v>3.3461947272727275</v>
      </c>
      <c r="P146" s="274">
        <f>IF(N146=" "," ",(I146/H146*880*0.02+0.44)/880*H146)</f>
        <v>3.7900000000000005</v>
      </c>
      <c r="Q146" s="301">
        <f>IF(N146=" "," ",P146*(2.3*0.75+1.8*0.09)/4.1)</f>
        <v>1.7443243902439025</v>
      </c>
      <c r="R146" s="274">
        <f>IF(N146=" "," ",(I146/H146*880*0.0405-0.22)/880*H146)</f>
        <v>6.5385000000000009</v>
      </c>
      <c r="S146" s="301">
        <f>IF(N146=" "," ",R146*0.55)</f>
        <v>3.5961750000000006</v>
      </c>
      <c r="T146" s="274">
        <f>IF(N146=" "," ",(I146/H146*880*0.02-0.97)/880*H146)</f>
        <v>2.3479545454545461</v>
      </c>
      <c r="U146" s="301">
        <f>IF(N146=" "," ",T146*0.54)</f>
        <v>1.267895454545455</v>
      </c>
      <c r="V146" s="274">
        <v>16.2</v>
      </c>
      <c r="W146" s="274">
        <v>3.2</v>
      </c>
      <c r="X146" s="301">
        <f>0.5*W146</f>
        <v>1.6</v>
      </c>
      <c r="Y146" s="301">
        <f>W146*0.65</f>
        <v>2.08</v>
      </c>
      <c r="Z146" s="274">
        <v>2.5</v>
      </c>
      <c r="AA146" s="303">
        <v>0.5</v>
      </c>
      <c r="AB146" s="276">
        <v>21.4</v>
      </c>
      <c r="AC146" s="311">
        <f>IF($I146=""," ",($I146/H146*880*0.012+0.13)/880*H146)</f>
        <v>2.1369545454545453</v>
      </c>
      <c r="AD146" s="311">
        <f>AC146*0.72</f>
        <v>1.5386072727272726</v>
      </c>
      <c r="AE146" s="321">
        <v>28</v>
      </c>
      <c r="AF146" s="321"/>
      <c r="AG146" s="321">
        <v>45</v>
      </c>
      <c r="AH146" s="321">
        <v>99</v>
      </c>
      <c r="AI146" s="612">
        <f>(H146-AH146)*AU146-I146*AV146-AE146*AW146-AF146-AG146</f>
        <v>311.71999999999997</v>
      </c>
      <c r="AJ146" s="321">
        <f t="shared" si="152"/>
        <v>369</v>
      </c>
      <c r="AK146" s="311">
        <v>8.4</v>
      </c>
      <c r="AL146" s="311"/>
      <c r="AM146" s="311"/>
      <c r="AN146" s="321"/>
      <c r="AO146" s="321"/>
      <c r="AP146" s="321"/>
      <c r="AQ146" s="612">
        <f t="shared" si="148"/>
        <v>1206.6300000000001</v>
      </c>
      <c r="AR146" s="847">
        <f t="shared" si="150"/>
        <v>865.26800000000003</v>
      </c>
      <c r="AS146" s="321">
        <f t="shared" si="151"/>
        <v>283.59000000000003</v>
      </c>
      <c r="AT146" s="321">
        <f t="shared" si="108"/>
        <v>369</v>
      </c>
      <c r="AU146" s="852">
        <v>0.55000000000000004</v>
      </c>
      <c r="AV146" s="852">
        <v>0.45</v>
      </c>
      <c r="AW146" s="852">
        <v>0.31</v>
      </c>
      <c r="AX146" s="852">
        <v>0.39</v>
      </c>
      <c r="AY146" s="852">
        <v>0.64</v>
      </c>
      <c r="AZ146" s="303">
        <f>6*H146/1000</f>
        <v>5.4</v>
      </c>
      <c r="BA146" s="321">
        <v>289</v>
      </c>
      <c r="BB146" s="321">
        <v>392</v>
      </c>
      <c r="BC146" s="303">
        <f t="shared" si="147"/>
        <v>-9.2528159300000006</v>
      </c>
      <c r="BD146" s="277"/>
      <c r="BE146" s="277"/>
      <c r="BF146" s="277"/>
      <c r="BG146" s="277"/>
      <c r="BH146" s="277"/>
      <c r="BI146" s="277"/>
      <c r="BJ146" s="277"/>
      <c r="BK146" s="277"/>
      <c r="BL146" s="277"/>
      <c r="BM146" s="277"/>
      <c r="BN146" s="277"/>
      <c r="BO146" s="277"/>
      <c r="BP146" s="277"/>
      <c r="BQ146" s="277"/>
      <c r="BR146" s="277"/>
      <c r="BS146" s="277"/>
      <c r="BT146" s="277"/>
      <c r="BU146" s="277"/>
      <c r="BV146" s="277"/>
      <c r="BW146" s="277"/>
      <c r="BX146" s="277"/>
      <c r="BY146" s="277"/>
      <c r="BZ146" s="277"/>
      <c r="CA146" s="277"/>
      <c r="CB146" s="277"/>
      <c r="CC146" s="277"/>
      <c r="CD146" s="277"/>
      <c r="CE146" s="277"/>
      <c r="CF146" s="277"/>
      <c r="CG146" s="277"/>
      <c r="CH146" s="277"/>
      <c r="CI146" s="277"/>
      <c r="CJ146" s="277"/>
      <c r="CK146" s="277"/>
      <c r="CL146" s="277"/>
      <c r="CM146" s="277"/>
      <c r="CN146" s="277"/>
      <c r="CO146" s="277"/>
      <c r="CP146" s="277"/>
      <c r="CQ146" s="277"/>
      <c r="CR146" s="277"/>
      <c r="CS146" s="277"/>
      <c r="CT146" s="277"/>
      <c r="CU146" s="277"/>
      <c r="CV146" s="277"/>
      <c r="CW146" s="277"/>
      <c r="CX146" s="277"/>
      <c r="CY146" s="277"/>
      <c r="CZ146" s="277"/>
      <c r="DA146" s="277"/>
      <c r="DB146" s="277"/>
      <c r="DC146" s="277"/>
      <c r="DD146" s="277"/>
      <c r="DE146" s="277"/>
      <c r="DF146" s="277"/>
      <c r="DG146" s="277"/>
      <c r="DH146" s="277"/>
      <c r="DI146" s="277"/>
      <c r="DJ146" s="277"/>
      <c r="DK146" s="277"/>
      <c r="DL146" s="277"/>
      <c r="DM146" s="277"/>
      <c r="DN146" s="277"/>
      <c r="DO146" s="277"/>
      <c r="DP146" s="277"/>
      <c r="DQ146" s="277"/>
      <c r="DR146" s="277"/>
      <c r="DS146" s="277"/>
      <c r="DT146" s="277"/>
      <c r="DU146" s="277"/>
      <c r="DV146" s="277"/>
      <c r="DW146" s="277"/>
      <c r="DX146" s="277"/>
      <c r="DY146" s="277"/>
      <c r="DZ146" s="277"/>
      <c r="EA146" s="277"/>
      <c r="EB146" s="277"/>
      <c r="EC146" s="277"/>
      <c r="ED146" s="277"/>
      <c r="EE146" s="277"/>
      <c r="EF146" s="277"/>
      <c r="EG146" s="277"/>
      <c r="EH146" s="277"/>
      <c r="EI146" s="277"/>
      <c r="EJ146" s="277"/>
      <c r="EK146" s="277"/>
      <c r="EL146" s="277"/>
      <c r="EM146" s="277"/>
    </row>
    <row r="147" spans="1:143" s="3" customFormat="1" ht="12.5" customHeight="1">
      <c r="A147" s="897" t="str">
        <f t="shared" si="142"/>
        <v xml:space="preserve">eigenes Grünmehl </v>
      </c>
      <c r="B147" s="298">
        <f>IF(D147=""," ",COUNTA($D$8:D147))</f>
        <v>134</v>
      </c>
      <c r="C147" s="327"/>
      <c r="D147" s="480" t="s">
        <v>298</v>
      </c>
      <c r="E147" s="619" t="str">
        <f t="shared" si="107"/>
        <v xml:space="preserve"> </v>
      </c>
      <c r="F147" s="304"/>
      <c r="G147" s="305"/>
      <c r="H147" s="91"/>
      <c r="I147" s="91"/>
      <c r="J147" s="306" t="str">
        <f>IF(I147=0," ",I147*0.6)</f>
        <v xml:space="preserve"> </v>
      </c>
      <c r="K147" s="91"/>
      <c r="L147" s="988" t="str">
        <f>IF($I147=""," ",I147*0.0205*AV147+0.0398*AW147*AE147+0.0173*AF147+0.016*$AG147+0.0147*AI147)</f>
        <v xml:space="preserve"> </v>
      </c>
      <c r="M147" s="988" t="str">
        <f t="shared" si="153"/>
        <v xml:space="preserve"> </v>
      </c>
      <c r="N147" s="307" t="str">
        <f>IF(I147=0," ",(I147/H147*880*0.0446-0.17)/880*H147)</f>
        <v xml:space="preserve"> </v>
      </c>
      <c r="O147" s="308" t="str">
        <f>IF(N147=" "," ",N147*0.46)</f>
        <v xml:space="preserve"> </v>
      </c>
      <c r="P147" s="307" t="str">
        <f>IF(N147=" "," ",(I147/H147*880*0.02+0.44)/880*H147)</f>
        <v xml:space="preserve"> </v>
      </c>
      <c r="Q147" s="308" t="str">
        <f>IF(N147=" "," ",P147*0.46)</f>
        <v xml:space="preserve"> </v>
      </c>
      <c r="R147" s="307" t="str">
        <f>IF(N147=" "," ",(I147/H147*880*0.0405-0.22)/880*H147)</f>
        <v xml:space="preserve"> </v>
      </c>
      <c r="S147" s="308" t="str">
        <f>IF(N147=" "," ",R147*0.55)</f>
        <v xml:space="preserve"> </v>
      </c>
      <c r="T147" s="307" t="str">
        <f>IF(N147=" "," ",(I147/H147*880*0.02-0.97)/880*H147)</f>
        <v xml:space="preserve"> </v>
      </c>
      <c r="U147" s="308" t="str">
        <f>IF(N147=" "," ",T147*0.54)</f>
        <v xml:space="preserve"> </v>
      </c>
      <c r="V147" s="307" t="str">
        <f t="shared" ref="V147:AB147" si="154">IF($I147=0," ",V146*$H147/$H146)</f>
        <v xml:space="preserve"> </v>
      </c>
      <c r="W147" s="307" t="str">
        <f t="shared" si="154"/>
        <v xml:space="preserve"> </v>
      </c>
      <c r="X147" s="308" t="str">
        <f t="shared" si="154"/>
        <v xml:space="preserve"> </v>
      </c>
      <c r="Y147" s="307" t="str">
        <f t="shared" si="154"/>
        <v xml:space="preserve"> </v>
      </c>
      <c r="Z147" s="307" t="str">
        <f t="shared" si="154"/>
        <v xml:space="preserve"> </v>
      </c>
      <c r="AA147" s="309" t="str">
        <f t="shared" si="154"/>
        <v xml:space="preserve"> </v>
      </c>
      <c r="AB147" s="310" t="str">
        <f t="shared" si="154"/>
        <v xml:space="preserve"> </v>
      </c>
      <c r="AC147" s="307" t="str">
        <f>IF($I147=""," ",($I147/H147*880*0.012+0.13)/880*H147)</f>
        <v xml:space="preserve"> </v>
      </c>
      <c r="AD147" s="307" t="str">
        <f>IF(AC147=" "," ",AC147*0.72)</f>
        <v xml:space="preserve"> </v>
      </c>
      <c r="AE147" s="92"/>
      <c r="AF147" s="92"/>
      <c r="AG147" s="92"/>
      <c r="AH147" s="92"/>
      <c r="AI147" s="306" t="str">
        <f>IF($I147=""," ",(H147-AH147)*AU147-I147*AV147-AE147*AW147-AF147-AG147)</f>
        <v xml:space="preserve"> </v>
      </c>
      <c r="AJ147" s="306" t="str">
        <f t="shared" si="152"/>
        <v xml:space="preserve"> </v>
      </c>
      <c r="AK147" s="307" t="str">
        <f t="shared" ref="AK147:AP147" si="155">IF($I147=0," ",AK146*$H147/$H146)</f>
        <v xml:space="preserve"> </v>
      </c>
      <c r="AL147" s="306" t="str">
        <f t="shared" si="155"/>
        <v xml:space="preserve"> </v>
      </c>
      <c r="AM147" s="306" t="str">
        <f t="shared" si="155"/>
        <v xml:space="preserve"> </v>
      </c>
      <c r="AN147" s="306" t="str">
        <f t="shared" si="155"/>
        <v xml:space="preserve"> </v>
      </c>
      <c r="AO147" s="306" t="str">
        <f t="shared" si="155"/>
        <v xml:space="preserve"> </v>
      </c>
      <c r="AP147" s="306" t="str">
        <f t="shared" si="155"/>
        <v xml:space="preserve"> </v>
      </c>
      <c r="AQ147" s="306" t="str">
        <f t="shared" si="148"/>
        <v/>
      </c>
      <c r="AR147" s="306" t="str">
        <f t="shared" si="150"/>
        <v/>
      </c>
      <c r="AS147" s="306" t="str">
        <f>IF($I147=0," ",AX147*K147+AY147*AT147-AF147-AG147)</f>
        <v xml:space="preserve"> </v>
      </c>
      <c r="AT147" s="92" t="str">
        <f t="shared" si="108"/>
        <v xml:space="preserve"> </v>
      </c>
      <c r="AU147" s="853" t="str">
        <f>IF($I147=0," ",AU146)</f>
        <v xml:space="preserve"> </v>
      </c>
      <c r="AV147" s="853" t="str">
        <f>IF($I147=0," ",AV146)</f>
        <v xml:space="preserve"> </v>
      </c>
      <c r="AW147" s="853" t="str">
        <f>IF($I147=0," ",AW146)</f>
        <v xml:space="preserve"> </v>
      </c>
      <c r="AX147" s="853" t="str">
        <f>IF($I147=0," ",AX146)</f>
        <v xml:space="preserve"> </v>
      </c>
      <c r="AY147" s="853" t="str">
        <f>IF($I147=0," ",AY146)</f>
        <v xml:space="preserve"> </v>
      </c>
      <c r="AZ147" s="309" t="str">
        <f>IF($I147=0," ",AZ146*$H147/$H146)</f>
        <v xml:space="preserve"> </v>
      </c>
      <c r="BA147" s="92" t="str">
        <f>IF($I147=0," ",BA146*$H147/$H146*K147/K146)</f>
        <v xml:space="preserve"> </v>
      </c>
      <c r="BB147" s="92" t="str">
        <f>IF($I147=0," ",BB146*$H147/$H146*K147/K146)</f>
        <v xml:space="preserve"> </v>
      </c>
      <c r="BC147" s="988" t="str">
        <f t="shared" si="147"/>
        <v/>
      </c>
      <c r="BD147" s="277"/>
      <c r="BE147" s="277"/>
      <c r="BF147" s="277"/>
      <c r="BG147" s="277"/>
      <c r="BH147" s="277"/>
      <c r="BI147" s="277"/>
      <c r="BJ147" s="277"/>
      <c r="BK147" s="277"/>
      <c r="BL147" s="277"/>
      <c r="BM147" s="277"/>
      <c r="BN147" s="277"/>
      <c r="BO147" s="277"/>
      <c r="BP147" s="277"/>
      <c r="BQ147" s="277"/>
      <c r="BR147" s="277"/>
      <c r="BS147" s="277"/>
      <c r="BT147" s="277"/>
      <c r="BU147" s="277"/>
      <c r="BV147" s="277"/>
      <c r="BW147" s="277"/>
      <c r="BX147" s="277"/>
      <c r="BY147" s="277"/>
      <c r="BZ147" s="277"/>
      <c r="CA147" s="277"/>
      <c r="CB147" s="277"/>
      <c r="CC147" s="277"/>
      <c r="CD147" s="277"/>
      <c r="CE147" s="277"/>
      <c r="CF147" s="277"/>
      <c r="CG147" s="277"/>
      <c r="CH147" s="277"/>
      <c r="CI147" s="277"/>
      <c r="CJ147" s="277"/>
      <c r="CK147" s="277"/>
      <c r="CL147" s="277"/>
      <c r="CM147" s="277"/>
      <c r="CN147" s="277"/>
      <c r="CO147" s="277"/>
      <c r="CP147" s="277"/>
      <c r="CQ147" s="277"/>
      <c r="CR147" s="277"/>
      <c r="CS147" s="277"/>
      <c r="CT147" s="277"/>
      <c r="CU147" s="277"/>
      <c r="CV147" s="277"/>
      <c r="CW147" s="277"/>
      <c r="CX147" s="277"/>
      <c r="CY147" s="277"/>
      <c r="CZ147" s="277"/>
      <c r="DA147" s="277"/>
      <c r="DB147" s="277"/>
      <c r="DC147" s="277"/>
      <c r="DD147" s="277"/>
      <c r="DE147" s="277"/>
      <c r="DF147" s="277"/>
      <c r="DG147" s="277"/>
      <c r="DH147" s="277"/>
      <c r="DI147" s="277"/>
      <c r="DJ147" s="277"/>
      <c r="DK147" s="277"/>
      <c r="DL147" s="277"/>
      <c r="DM147" s="277"/>
      <c r="DN147" s="277"/>
      <c r="DO147" s="277"/>
      <c r="DP147" s="277"/>
      <c r="DQ147" s="277"/>
      <c r="DR147" s="277"/>
      <c r="DS147" s="277"/>
      <c r="DT147" s="277"/>
      <c r="DU147" s="277"/>
      <c r="DV147" s="277"/>
      <c r="DW147" s="277"/>
      <c r="DX147" s="277"/>
      <c r="DY147" s="277"/>
      <c r="DZ147" s="277"/>
      <c r="EA147" s="277"/>
      <c r="EB147" s="277"/>
      <c r="EC147" s="277"/>
      <c r="ED147" s="277"/>
      <c r="EE147" s="277"/>
      <c r="EF147" s="277"/>
      <c r="EG147" s="277"/>
      <c r="EH147" s="277"/>
      <c r="EI147" s="277"/>
      <c r="EJ147" s="277"/>
      <c r="EK147" s="277"/>
      <c r="EL147" s="277"/>
      <c r="EM147" s="277"/>
    </row>
    <row r="148" spans="1:143" s="3" customFormat="1" ht="12.5" customHeight="1">
      <c r="A148" s="897" t="str">
        <f t="shared" si="142"/>
        <v>Melasseschnitzel 9% RP DLG 2014</v>
      </c>
      <c r="B148" s="298">
        <f>IF(D148=""," ",COUNTA($D$8:D148))</f>
        <v>135</v>
      </c>
      <c r="C148" s="327"/>
      <c r="D148" s="479" t="s">
        <v>76</v>
      </c>
      <c r="E148" s="617">
        <f t="shared" si="107"/>
        <v>9</v>
      </c>
      <c r="F148" s="299" t="s">
        <v>969</v>
      </c>
      <c r="G148" s="300"/>
      <c r="H148" s="275">
        <v>910</v>
      </c>
      <c r="I148" s="275">
        <v>91</v>
      </c>
      <c r="J148" s="275">
        <f>I148*0.25</f>
        <v>22.75</v>
      </c>
      <c r="K148" s="275">
        <v>137</v>
      </c>
      <c r="L148" s="303">
        <f t="shared" ref="L148:L154" si="156">I148*0.0205*AV148+0.0398*AW148*AE148+0.0173*AF148+0.016*$AG148+0.0147*AI148</f>
        <v>10.532319000000001</v>
      </c>
      <c r="M148" s="322">
        <f t="shared" si="153"/>
        <v>8.2063309999999987</v>
      </c>
      <c r="N148" s="274">
        <f>IF(I148=0," ",(I148/H148*880*0.0659-1)/880*H148)</f>
        <v>4.9628090909090909</v>
      </c>
      <c r="O148" s="301">
        <f>N148*0.75</f>
        <v>3.7221068181818184</v>
      </c>
      <c r="P148" s="274">
        <f>IF(N148=" "," ",(I148/H148*880*0.026+0.2)/880*H148)</f>
        <v>2.5728181818181817</v>
      </c>
      <c r="Q148" s="301">
        <f>P148*(1.5*0.74+1.1*0.26)/2.6</f>
        <v>1.3814054545454544</v>
      </c>
      <c r="R148" s="274">
        <f>IF(N148=" "," ",(I148/H148*880*0.0356+0.81)/880*H148)</f>
        <v>4.077213636363636</v>
      </c>
      <c r="S148" s="301">
        <f>R148*0.28</f>
        <v>1.1416198181818182</v>
      </c>
      <c r="T148" s="274">
        <v>0.9</v>
      </c>
      <c r="U148" s="301">
        <f>T148*0.4</f>
        <v>0.36000000000000004</v>
      </c>
      <c r="V148" s="274">
        <v>10</v>
      </c>
      <c r="W148" s="274">
        <v>0.7</v>
      </c>
      <c r="X148" s="301">
        <f>W148*0.1</f>
        <v>6.9999999999999993E-2</v>
      </c>
      <c r="Y148" s="301">
        <f>W148*0.65</f>
        <v>0.45499999999999996</v>
      </c>
      <c r="Z148" s="274">
        <v>1.6</v>
      </c>
      <c r="AA148" s="303">
        <v>1.5</v>
      </c>
      <c r="AB148" s="276">
        <v>13.7</v>
      </c>
      <c r="AC148" s="311">
        <f>IF($I148=""," ",($I148/H148*880*0.0158+0.06)/880*H148)</f>
        <v>1.4998454545454547</v>
      </c>
      <c r="AD148" s="311">
        <f>AC148*0.74</f>
        <v>1.1098856363636365</v>
      </c>
      <c r="AE148" s="321">
        <v>7</v>
      </c>
      <c r="AF148" s="321"/>
      <c r="AG148" s="321">
        <v>182</v>
      </c>
      <c r="AH148" s="321">
        <v>69</v>
      </c>
      <c r="AI148" s="612">
        <f>(H148-AH148)*AU148-I148*AV148-AE148*AW148-AF148-AG148</f>
        <v>483.82000000000005</v>
      </c>
      <c r="AJ148" s="321">
        <f t="shared" si="152"/>
        <v>606</v>
      </c>
      <c r="AK148" s="311">
        <v>3.3</v>
      </c>
      <c r="AL148" s="311"/>
      <c r="AM148" s="311"/>
      <c r="AN148" s="321"/>
      <c r="AO148" s="321"/>
      <c r="AP148" s="321"/>
      <c r="AQ148" s="612">
        <f t="shared" si="148"/>
        <v>944.58136363636368</v>
      </c>
      <c r="AR148" s="847">
        <f t="shared" si="150"/>
        <v>506.66</v>
      </c>
      <c r="AS148" s="321">
        <f>AX148*K148+AY148*AT148-AF148-AG148</f>
        <v>484.54000000000008</v>
      </c>
      <c r="AT148" s="321">
        <f t="shared" si="108"/>
        <v>606</v>
      </c>
      <c r="AU148" s="852">
        <v>0.82</v>
      </c>
      <c r="AV148" s="852">
        <v>0.25</v>
      </c>
      <c r="AW148" s="852">
        <v>0.15</v>
      </c>
      <c r="AX148" s="852">
        <v>0.84</v>
      </c>
      <c r="AY148" s="852">
        <v>0.91</v>
      </c>
      <c r="AZ148" s="303">
        <f>1.4*H148/1000</f>
        <v>1.274</v>
      </c>
      <c r="BA148" s="321">
        <v>161</v>
      </c>
      <c r="BB148" s="321">
        <v>322</v>
      </c>
      <c r="BC148" s="303">
        <f t="shared" si="147"/>
        <v>-1.7893783700000014</v>
      </c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277"/>
      <c r="BT148" s="277"/>
      <c r="BU148" s="277"/>
      <c r="BV148" s="277"/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277"/>
      <c r="CN148" s="277"/>
      <c r="CO148" s="277"/>
      <c r="CP148" s="277"/>
      <c r="CQ148" s="277"/>
      <c r="CR148" s="277"/>
      <c r="CS148" s="277"/>
      <c r="CT148" s="277"/>
      <c r="CU148" s="277"/>
      <c r="CV148" s="277"/>
      <c r="CW148" s="277"/>
      <c r="CX148" s="277"/>
      <c r="CY148" s="277"/>
      <c r="CZ148" s="277"/>
      <c r="DA148" s="277"/>
      <c r="DB148" s="277"/>
      <c r="DC148" s="277"/>
      <c r="DD148" s="277"/>
      <c r="DE148" s="277"/>
      <c r="DF148" s="277"/>
      <c r="DG148" s="277"/>
      <c r="DH148" s="277"/>
      <c r="DI148" s="277"/>
      <c r="DJ148" s="277"/>
      <c r="DK148" s="277"/>
      <c r="DL148" s="277"/>
      <c r="DM148" s="277"/>
      <c r="DN148" s="277"/>
      <c r="DO148" s="277"/>
      <c r="DP148" s="277"/>
      <c r="DQ148" s="277"/>
      <c r="DR148" s="277"/>
      <c r="DS148" s="277"/>
      <c r="DT148" s="277"/>
      <c r="DU148" s="277"/>
      <c r="DV148" s="277"/>
      <c r="DW148" s="277"/>
      <c r="DX148" s="277"/>
      <c r="DY148" s="277"/>
      <c r="DZ148" s="277"/>
      <c r="EA148" s="277"/>
      <c r="EB148" s="277"/>
      <c r="EC148" s="277"/>
      <c r="ED148" s="277"/>
      <c r="EE148" s="277"/>
      <c r="EF148" s="277"/>
      <c r="EG148" s="277"/>
      <c r="EH148" s="277"/>
      <c r="EI148" s="277"/>
      <c r="EJ148" s="277"/>
      <c r="EK148" s="277"/>
      <c r="EL148" s="277"/>
      <c r="EM148" s="277"/>
    </row>
    <row r="149" spans="1:143" s="3" customFormat="1" ht="12.5" customHeight="1">
      <c r="A149" s="897" t="str">
        <f t="shared" si="142"/>
        <v>Melasseschnitzel zuckerreich 11% RP DLG 2005</v>
      </c>
      <c r="B149" s="298">
        <f>IF(D149=""," ",COUNTA($D$8:D149))</f>
        <v>136</v>
      </c>
      <c r="C149" s="327"/>
      <c r="D149" s="479" t="s">
        <v>629</v>
      </c>
      <c r="E149" s="617">
        <f>IF(I149=0," ",ROUND(I149/10,0))</f>
        <v>11</v>
      </c>
      <c r="F149" s="299" t="s">
        <v>979</v>
      </c>
      <c r="G149" s="300"/>
      <c r="H149" s="275">
        <v>900</v>
      </c>
      <c r="I149" s="275">
        <v>113</v>
      </c>
      <c r="J149" s="275">
        <f>I149*0.25</f>
        <v>28.25</v>
      </c>
      <c r="K149" s="275">
        <v>129</v>
      </c>
      <c r="L149" s="303">
        <f t="shared" si="156"/>
        <v>10.93554</v>
      </c>
      <c r="M149" s="322">
        <f t="shared" si="153"/>
        <v>8.3981144000000008</v>
      </c>
      <c r="N149" s="274">
        <f>IF(I149=0," ",(I149/H149*880*0.0659-1)/880*H149)</f>
        <v>6.4239727272727274</v>
      </c>
      <c r="O149" s="301">
        <f>N149*0.75</f>
        <v>4.8179795454545458</v>
      </c>
      <c r="P149" s="274">
        <f>IF(N149=" "," ",(I149/H149*880*0.026+0.2)/880*H149)</f>
        <v>3.1425454545454552</v>
      </c>
      <c r="Q149" s="301">
        <f>P149*(1.5*0.74+1.1*0.26)/2.6</f>
        <v>1.6873051748251748</v>
      </c>
      <c r="R149" s="274">
        <f>IF(N149=" "," ",(I149/H149*880*0.0356+0.81)/880*H149)</f>
        <v>4.8512090909090917</v>
      </c>
      <c r="S149" s="301">
        <f>R149*0.28</f>
        <v>1.3583385454545458</v>
      </c>
      <c r="T149" s="274">
        <v>0.9</v>
      </c>
      <c r="U149" s="301">
        <f>T149*0.4</f>
        <v>0.36000000000000004</v>
      </c>
      <c r="V149" s="274">
        <v>7.1</v>
      </c>
      <c r="W149" s="274">
        <v>0.7</v>
      </c>
      <c r="X149" s="301">
        <f>W149*0.1</f>
        <v>6.9999999999999993E-2</v>
      </c>
      <c r="Y149" s="301">
        <f>W149*0.65</f>
        <v>0.45499999999999996</v>
      </c>
      <c r="Z149" s="274">
        <v>1.4</v>
      </c>
      <c r="AA149" s="303">
        <v>1.91</v>
      </c>
      <c r="AB149" s="276">
        <v>18.100000000000001</v>
      </c>
      <c r="AC149" s="311">
        <f>IF($I149=""," ",($I149/H149*880*0.0158+0.06)/880*H149)</f>
        <v>1.8467636363636366</v>
      </c>
      <c r="AD149" s="311">
        <f>AC149*0.74</f>
        <v>1.366605090909091</v>
      </c>
      <c r="AE149" s="321">
        <v>7</v>
      </c>
      <c r="AF149" s="321"/>
      <c r="AG149" s="321">
        <v>221</v>
      </c>
      <c r="AH149" s="321">
        <f>84*H149/1000</f>
        <v>75.599999999999994</v>
      </c>
      <c r="AI149" s="612">
        <f>(H149-AH149)*AU149-I149*AV149-AE149*AW149-AF149-AG149</f>
        <v>419.85</v>
      </c>
      <c r="AJ149" s="321">
        <f t="shared" si="152"/>
        <v>575.4</v>
      </c>
      <c r="AK149" s="311">
        <v>3.3</v>
      </c>
      <c r="AL149" s="311"/>
      <c r="AM149" s="311"/>
      <c r="AN149" s="321"/>
      <c r="AO149" s="321"/>
      <c r="AP149" s="321"/>
      <c r="AQ149" s="612">
        <f t="shared" si="148"/>
        <v>904.48690909090897</v>
      </c>
      <c r="AR149" s="847">
        <f t="shared" si="150"/>
        <v>493.53399999999999</v>
      </c>
      <c r="AS149" s="321">
        <f>AX149*K149+AY149*AT149-AF149-AG149</f>
        <v>420.49599999999998</v>
      </c>
      <c r="AT149" s="321">
        <f t="shared" si="108"/>
        <v>575.4</v>
      </c>
      <c r="AU149" s="852">
        <v>0.85</v>
      </c>
      <c r="AV149" s="852">
        <v>0.53</v>
      </c>
      <c r="AW149" s="852">
        <v>0</v>
      </c>
      <c r="AX149" s="852">
        <v>0.78</v>
      </c>
      <c r="AY149" s="852">
        <v>0.94</v>
      </c>
      <c r="AZ149" s="303">
        <v>1.4</v>
      </c>
      <c r="BA149" s="321">
        <f>IF($I149=0," ",BA148*$H149/$H148*K149/K148)</f>
        <v>149.93262212240313</v>
      </c>
      <c r="BB149" s="321">
        <f>IF($I149=0," ",BB148*$H149/$H148*K149/K148)</f>
        <v>299.86524424480626</v>
      </c>
      <c r="BC149" s="303">
        <f t="shared" si="147"/>
        <v>-1.9373764880000004</v>
      </c>
      <c r="BD149" s="277"/>
      <c r="BE149" s="277"/>
      <c r="BF149" s="277"/>
      <c r="BG149" s="277"/>
      <c r="BH149" s="277"/>
      <c r="BI149" s="277"/>
      <c r="BJ149" s="277"/>
      <c r="BK149" s="277"/>
      <c r="BL149" s="277"/>
      <c r="BM149" s="277"/>
      <c r="BN149" s="277"/>
      <c r="BO149" s="277"/>
      <c r="BP149" s="277"/>
      <c r="BQ149" s="277"/>
      <c r="BR149" s="277"/>
      <c r="BS149" s="277"/>
      <c r="BT149" s="277"/>
      <c r="BU149" s="277"/>
      <c r="BV149" s="277"/>
      <c r="BW149" s="277"/>
      <c r="BX149" s="277"/>
      <c r="BY149" s="277"/>
      <c r="BZ149" s="277"/>
      <c r="CA149" s="277"/>
      <c r="CB149" s="277"/>
      <c r="CC149" s="277"/>
      <c r="CD149" s="277"/>
      <c r="CE149" s="277"/>
      <c r="CF149" s="277"/>
      <c r="CG149" s="277"/>
      <c r="CH149" s="277"/>
      <c r="CI149" s="277"/>
      <c r="CJ149" s="277"/>
      <c r="CK149" s="277"/>
      <c r="CL149" s="277"/>
      <c r="CM149" s="277"/>
      <c r="CN149" s="277"/>
      <c r="CO149" s="277"/>
      <c r="CP149" s="277"/>
      <c r="CQ149" s="277"/>
      <c r="CR149" s="277"/>
      <c r="CS149" s="277"/>
      <c r="CT149" s="277"/>
      <c r="CU149" s="277"/>
      <c r="CV149" s="277"/>
      <c r="CW149" s="277"/>
      <c r="CX149" s="277"/>
      <c r="CY149" s="277"/>
      <c r="CZ149" s="277"/>
      <c r="DA149" s="277"/>
      <c r="DB149" s="277"/>
      <c r="DC149" s="277"/>
      <c r="DD149" s="277"/>
      <c r="DE149" s="277"/>
      <c r="DF149" s="277"/>
      <c r="DG149" s="277"/>
      <c r="DH149" s="277"/>
      <c r="DI149" s="277"/>
      <c r="DJ149" s="277"/>
      <c r="DK149" s="277"/>
      <c r="DL149" s="277"/>
      <c r="DM149" s="277"/>
      <c r="DN149" s="277"/>
      <c r="DO149" s="277"/>
      <c r="DP149" s="277"/>
      <c r="DQ149" s="277"/>
      <c r="DR149" s="277"/>
      <c r="DS149" s="277"/>
      <c r="DT149" s="277"/>
      <c r="DU149" s="277"/>
      <c r="DV149" s="277"/>
      <c r="DW149" s="277"/>
      <c r="DX149" s="277"/>
      <c r="DY149" s="277"/>
      <c r="DZ149" s="277"/>
      <c r="EA149" s="277"/>
      <c r="EB149" s="277"/>
      <c r="EC149" s="277"/>
      <c r="ED149" s="277"/>
      <c r="EE149" s="277"/>
      <c r="EF149" s="277"/>
      <c r="EG149" s="277"/>
      <c r="EH149" s="277"/>
      <c r="EI149" s="277"/>
      <c r="EJ149" s="277"/>
      <c r="EK149" s="277"/>
      <c r="EL149" s="277"/>
      <c r="EM149" s="277"/>
    </row>
    <row r="150" spans="1:143" s="3" customFormat="1" ht="12.5" customHeight="1">
      <c r="A150" s="897" t="str">
        <f t="shared" si="142"/>
        <v>Obstrester (Apfel), getrocknet 5% RP DLG FuDb</v>
      </c>
      <c r="B150" s="298">
        <f>IF(D150=""," ",COUNTA($D$8:D150))</f>
        <v>137</v>
      </c>
      <c r="C150" s="327"/>
      <c r="D150" s="479" t="s">
        <v>634</v>
      </c>
      <c r="E150" s="617">
        <f>IF(I150=0," ",ROUND(I150/10,0))</f>
        <v>5</v>
      </c>
      <c r="F150" s="299" t="s">
        <v>977</v>
      </c>
      <c r="G150" s="300"/>
      <c r="H150" s="275">
        <v>900</v>
      </c>
      <c r="I150" s="275">
        <f>55.89*0.9</f>
        <v>50.301000000000002</v>
      </c>
      <c r="J150" s="275">
        <f>I150*0.72</f>
        <v>36.216720000000002</v>
      </c>
      <c r="K150" s="275">
        <f>207.1*0.9</f>
        <v>186.39</v>
      </c>
      <c r="L150" s="303">
        <f t="shared" si="156"/>
        <v>7.5826408409999999</v>
      </c>
      <c r="M150" s="322">
        <f t="shared" si="153"/>
        <v>7.2316410390000012</v>
      </c>
      <c r="N150" s="274">
        <f>5.4*0.9</f>
        <v>4.8600000000000003</v>
      </c>
      <c r="O150" s="301">
        <f>IF(N150=" "," ",N150*0.46)</f>
        <v>2.2356000000000003</v>
      </c>
      <c r="P150" s="274">
        <f>3.2*0.9</f>
        <v>2.8800000000000003</v>
      </c>
      <c r="Q150" s="301">
        <f>IF(N150=" "," ",P150*0.46)</f>
        <v>1.3248000000000002</v>
      </c>
      <c r="R150" s="274">
        <f>4*0.9</f>
        <v>3.6</v>
      </c>
      <c r="S150" s="301">
        <f>R150*0.55</f>
        <v>1.9800000000000002</v>
      </c>
      <c r="T150" s="274">
        <f>0.9*0.9</f>
        <v>0.81</v>
      </c>
      <c r="U150" s="301">
        <f>IF(N150=" "," ",T150*0.54)</f>
        <v>0.43740000000000007</v>
      </c>
      <c r="V150" s="274">
        <f>2.39*0.9</f>
        <v>2.1510000000000002</v>
      </c>
      <c r="W150" s="274">
        <f>1.728*0.9</f>
        <v>1.5551999999999999</v>
      </c>
      <c r="X150" s="301">
        <f>W150*0.5</f>
        <v>0.77759999999999996</v>
      </c>
      <c r="Y150" s="301">
        <f>W150*0.65</f>
        <v>1.01088</v>
      </c>
      <c r="Z150" s="274">
        <f>V150/2.5</f>
        <v>0.86040000000000005</v>
      </c>
      <c r="AA150" s="303">
        <f>0.3539*0.9</f>
        <v>0.31851000000000002</v>
      </c>
      <c r="AB150" s="276">
        <f>6.051*0.9</f>
        <v>5.4459</v>
      </c>
      <c r="AC150" s="311">
        <f>P150*0.17/0.41</f>
        <v>1.194146341463415</v>
      </c>
      <c r="AD150" s="311">
        <f>AC150*0.46</f>
        <v>0.54930731707317093</v>
      </c>
      <c r="AE150" s="321">
        <f>42.13*0.9</f>
        <v>37.917000000000002</v>
      </c>
      <c r="AF150" s="321"/>
      <c r="AG150" s="321">
        <f>267.2*0.9</f>
        <v>240.48</v>
      </c>
      <c r="AH150" s="321">
        <f>26.35*0.9</f>
        <v>23.715000000000003</v>
      </c>
      <c r="AI150" s="612">
        <f>(H150-AH150)*AU150-I150*AV150-AE150*AW150-AF150-AG150</f>
        <v>220.20129000000006</v>
      </c>
      <c r="AJ150" s="321">
        <f t="shared" si="152"/>
        <v>601.67700000000002</v>
      </c>
      <c r="AK150" s="311">
        <v>8.1999999999999993</v>
      </c>
      <c r="AL150" s="311"/>
      <c r="AM150" s="311"/>
      <c r="AN150" s="321"/>
      <c r="AO150" s="321"/>
      <c r="AP150" s="321"/>
      <c r="AQ150" s="612">
        <f t="shared" si="148"/>
        <v>175.90946227605633</v>
      </c>
      <c r="AR150" s="847">
        <f t="shared" si="150"/>
        <v>210.88908000000001</v>
      </c>
      <c r="AS150" s="321">
        <f>AX150*K150+AY150*AT150-AF150-AG150</f>
        <v>224.31590999999995</v>
      </c>
      <c r="AT150" s="321">
        <f t="shared" si="108"/>
        <v>601.67699999999991</v>
      </c>
      <c r="AU150" s="852">
        <v>0.54</v>
      </c>
      <c r="AV150" s="852">
        <v>0</v>
      </c>
      <c r="AW150" s="852">
        <v>0.33</v>
      </c>
      <c r="AX150" s="852">
        <v>0.46</v>
      </c>
      <c r="AY150" s="852">
        <v>0.63</v>
      </c>
      <c r="AZ150" s="303">
        <f>(0.93*23*AA150)/35.5+Z150</f>
        <v>1.0523134901408451</v>
      </c>
      <c r="BA150" s="321">
        <v>470</v>
      </c>
      <c r="BB150" s="321">
        <v>580</v>
      </c>
      <c r="BC150" s="303">
        <f t="shared" si="147"/>
        <v>-1.6858850415299989</v>
      </c>
      <c r="BD150" s="277"/>
      <c r="BE150" s="277"/>
      <c r="BF150" s="277"/>
      <c r="BG150" s="277"/>
      <c r="BH150" s="277"/>
      <c r="BI150" s="277"/>
      <c r="BJ150" s="277"/>
      <c r="BK150" s="277"/>
      <c r="BL150" s="277"/>
      <c r="BM150" s="277"/>
      <c r="BN150" s="277"/>
      <c r="BO150" s="277"/>
      <c r="BP150" s="277"/>
      <c r="BQ150" s="277"/>
      <c r="BR150" s="277"/>
      <c r="BS150" s="277"/>
      <c r="BT150" s="277"/>
      <c r="BU150" s="277"/>
      <c r="BV150" s="277"/>
      <c r="BW150" s="277"/>
      <c r="BX150" s="277"/>
      <c r="BY150" s="277"/>
      <c r="BZ150" s="277"/>
      <c r="CA150" s="277"/>
      <c r="CB150" s="277"/>
      <c r="CC150" s="277"/>
      <c r="CD150" s="277"/>
      <c r="CE150" s="277"/>
      <c r="CF150" s="277"/>
      <c r="CG150" s="277"/>
      <c r="CH150" s="277"/>
      <c r="CI150" s="277"/>
      <c r="CJ150" s="277"/>
      <c r="CK150" s="277"/>
      <c r="CL150" s="277"/>
      <c r="CM150" s="277"/>
      <c r="CN150" s="277"/>
      <c r="CO150" s="277"/>
      <c r="CP150" s="277"/>
      <c r="CQ150" s="277"/>
      <c r="CR150" s="277"/>
      <c r="CS150" s="277"/>
      <c r="CT150" s="277"/>
      <c r="CU150" s="277"/>
      <c r="CV150" s="277"/>
      <c r="CW150" s="277"/>
      <c r="CX150" s="277"/>
      <c r="CY150" s="277"/>
      <c r="CZ150" s="277"/>
      <c r="DA150" s="277"/>
      <c r="DB150" s="277"/>
      <c r="DC150" s="277"/>
      <c r="DD150" s="277"/>
      <c r="DE150" s="277"/>
      <c r="DF150" s="277"/>
      <c r="DG150" s="277"/>
      <c r="DH150" s="277"/>
      <c r="DI150" s="277"/>
      <c r="DJ150" s="277"/>
      <c r="DK150" s="277"/>
      <c r="DL150" s="277"/>
      <c r="DM150" s="277"/>
      <c r="DN150" s="277"/>
      <c r="DO150" s="277"/>
      <c r="DP150" s="277"/>
      <c r="DQ150" s="277"/>
      <c r="DR150" s="277"/>
      <c r="DS150" s="277"/>
      <c r="DT150" s="277"/>
      <c r="DU150" s="277"/>
      <c r="DV150" s="277"/>
      <c r="DW150" s="277"/>
      <c r="DX150" s="277"/>
      <c r="DY150" s="277"/>
      <c r="DZ150" s="277"/>
      <c r="EA150" s="277"/>
      <c r="EB150" s="277"/>
      <c r="EC150" s="277"/>
      <c r="ED150" s="277"/>
      <c r="EE150" s="277"/>
      <c r="EF150" s="277"/>
      <c r="EG150" s="277"/>
      <c r="EH150" s="277"/>
      <c r="EI150" s="277"/>
      <c r="EJ150" s="277"/>
      <c r="EK150" s="277"/>
      <c r="EL150" s="277"/>
      <c r="EM150" s="277"/>
    </row>
    <row r="151" spans="1:143" s="3" customFormat="1" ht="12.5" customHeight="1">
      <c r="A151" s="897" t="str">
        <f t="shared" si="142"/>
        <v xml:space="preserve">Propionsäure </v>
      </c>
      <c r="B151" s="298">
        <f>IF(D151=""," ",COUNTA($D$8:D151))</f>
        <v>138</v>
      </c>
      <c r="C151" s="327"/>
      <c r="D151" s="479" t="s">
        <v>338</v>
      </c>
      <c r="E151" s="617" t="str">
        <f>IF(I151=0," ",ROUND(I151/10,0))</f>
        <v xml:space="preserve"> </v>
      </c>
      <c r="F151" s="299"/>
      <c r="G151" s="300"/>
      <c r="H151" s="275">
        <v>990</v>
      </c>
      <c r="I151" s="275"/>
      <c r="J151" s="275"/>
      <c r="K151" s="275"/>
      <c r="L151" s="303">
        <f>M151</f>
        <v>19.822217008797654</v>
      </c>
      <c r="M151" s="303">
        <f>20.8/0.0341*0.032497</f>
        <v>19.822217008797654</v>
      </c>
      <c r="N151" s="274"/>
      <c r="O151" s="301"/>
      <c r="P151" s="274"/>
      <c r="Q151" s="301"/>
      <c r="R151" s="274"/>
      <c r="S151" s="301"/>
      <c r="T151" s="274"/>
      <c r="U151" s="301"/>
      <c r="V151" s="274"/>
      <c r="W151" s="274"/>
      <c r="X151" s="301"/>
      <c r="Y151" s="301"/>
      <c r="Z151" s="274"/>
      <c r="AA151" s="303"/>
      <c r="AB151" s="276"/>
      <c r="AC151" s="311"/>
      <c r="AD151" s="311"/>
      <c r="AE151" s="321"/>
      <c r="AF151" s="321"/>
      <c r="AG151" s="321"/>
      <c r="AH151" s="321"/>
      <c r="AI151" s="321"/>
      <c r="AJ151" s="321"/>
      <c r="AL151" s="311"/>
      <c r="AM151" s="311"/>
      <c r="AN151" s="321"/>
      <c r="AO151" s="321"/>
      <c r="AP151" s="321"/>
      <c r="AQ151" s="612"/>
      <c r="AR151" s="847">
        <v>-750</v>
      </c>
      <c r="AS151" s="321"/>
      <c r="AT151" s="321"/>
      <c r="AU151" s="852"/>
      <c r="AV151" s="852"/>
      <c r="AW151" s="852"/>
      <c r="AX151" s="852"/>
      <c r="AY151" s="852"/>
      <c r="AZ151" s="303"/>
      <c r="BA151" s="321"/>
      <c r="BB151" s="321"/>
      <c r="BC151" s="303">
        <f t="shared" si="147"/>
        <v>14.470218416422288</v>
      </c>
      <c r="BD151" s="277"/>
      <c r="BE151" s="277"/>
      <c r="BF151" s="277"/>
      <c r="BG151" s="277"/>
      <c r="BH151" s="277"/>
      <c r="BI151" s="277"/>
      <c r="BJ151" s="277"/>
      <c r="BK151" s="277"/>
      <c r="BL151" s="277"/>
      <c r="BM151" s="277"/>
      <c r="BN151" s="277"/>
      <c r="BO151" s="277"/>
      <c r="BP151" s="277"/>
      <c r="BQ151" s="277"/>
      <c r="BR151" s="277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277"/>
      <c r="CG151" s="277"/>
      <c r="CH151" s="277"/>
      <c r="CI151" s="277"/>
      <c r="CJ151" s="277"/>
      <c r="CK151" s="277"/>
      <c r="CL151" s="277"/>
      <c r="CM151" s="277"/>
      <c r="CN151" s="277"/>
      <c r="CO151" s="277"/>
      <c r="CP151" s="277"/>
      <c r="CQ151" s="277"/>
      <c r="CR151" s="277"/>
      <c r="CS151" s="277"/>
      <c r="CT151" s="277"/>
      <c r="CU151" s="277"/>
      <c r="CV151" s="277"/>
      <c r="CW151" s="277"/>
      <c r="CX151" s="277"/>
      <c r="CY151" s="277"/>
      <c r="CZ151" s="277"/>
      <c r="DA151" s="277"/>
      <c r="DB151" s="277"/>
      <c r="DC151" s="277"/>
      <c r="DD151" s="277"/>
      <c r="DE151" s="277"/>
      <c r="DF151" s="277"/>
      <c r="DG151" s="277"/>
      <c r="DH151" s="277"/>
      <c r="DI151" s="277"/>
      <c r="DJ151" s="277"/>
      <c r="DK151" s="277"/>
      <c r="DL151" s="277"/>
      <c r="DM151" s="277"/>
      <c r="DN151" s="277"/>
      <c r="DO151" s="277"/>
      <c r="DP151" s="277"/>
      <c r="DQ151" s="277"/>
      <c r="DR151" s="277"/>
      <c r="DS151" s="277"/>
      <c r="DT151" s="277"/>
      <c r="DU151" s="277"/>
      <c r="DV151" s="277"/>
      <c r="DW151" s="277"/>
      <c r="DX151" s="277"/>
      <c r="DY151" s="277"/>
      <c r="DZ151" s="277"/>
      <c r="EA151" s="277"/>
      <c r="EB151" s="277"/>
      <c r="EC151" s="277"/>
      <c r="ED151" s="277"/>
      <c r="EE151" s="277"/>
      <c r="EF151" s="277"/>
      <c r="EG151" s="277"/>
      <c r="EH151" s="277"/>
      <c r="EI151" s="277"/>
      <c r="EJ151" s="277"/>
      <c r="EK151" s="277"/>
      <c r="EL151" s="277"/>
      <c r="EM151" s="277"/>
    </row>
    <row r="152" spans="1:143" s="3" customFormat="1" ht="12.5" customHeight="1">
      <c r="A152" s="897" t="str">
        <f>IF(E152=" ",D152&amp;" "&amp;F152,D152&amp;" "&amp;E152&amp;"% RP "&amp;F152)</f>
        <v>Fischöl / Lachsöl DLG 2014</v>
      </c>
      <c r="B152" s="298">
        <f>IF(D152=""," ",COUNTA($D$8:D152))</f>
        <v>139</v>
      </c>
      <c r="C152" s="327"/>
      <c r="D152" s="897" t="s">
        <v>982</v>
      </c>
      <c r="E152" s="1108" t="str">
        <f>IF(I152=0," ",ROUND(I152/10,0))</f>
        <v xml:space="preserve"> </v>
      </c>
      <c r="F152" s="1109" t="s">
        <v>969</v>
      </c>
      <c r="G152" s="1110"/>
      <c r="H152" s="1111">
        <v>999</v>
      </c>
      <c r="I152" s="1111"/>
      <c r="J152" s="1111"/>
      <c r="K152" s="1111"/>
      <c r="L152" s="1524">
        <f>I152*0.0205*AV152+0.0398*AW152*AE152+0.0173*AF152+0.016*$AG152+0.0147*AI152</f>
        <v>38.925992000000001</v>
      </c>
      <c r="M152" s="989">
        <f>IF(I152=" "," ",$I152*0.021503+0.032497*$AE152+0.016309*$AF152+0.014701*$AJ152-0.021071*$K152)</f>
        <v>32.432006000000001</v>
      </c>
      <c r="N152" s="1112"/>
      <c r="O152" s="1113"/>
      <c r="P152" s="1112"/>
      <c r="Q152" s="1113"/>
      <c r="R152" s="1112"/>
      <c r="S152" s="1113"/>
      <c r="T152" s="1112"/>
      <c r="U152" s="1113"/>
      <c r="V152" s="1112"/>
      <c r="W152" s="1112"/>
      <c r="X152" s="1113"/>
      <c r="Y152" s="1113"/>
      <c r="Z152" s="1112"/>
      <c r="AA152" s="989"/>
      <c r="AB152" s="1114"/>
      <c r="AC152" s="1112"/>
      <c r="AD152" s="1112"/>
      <c r="AE152" s="1111">
        <v>998</v>
      </c>
      <c r="AF152" s="1111"/>
      <c r="AG152" s="1111"/>
      <c r="AH152" s="1111">
        <v>1</v>
      </c>
      <c r="AI152" s="1111"/>
      <c r="AJ152" s="1111"/>
      <c r="AK152" s="1112">
        <f>(43%+35%)*AE152</f>
        <v>778.44</v>
      </c>
      <c r="AL152" s="1112">
        <f>24.5%*AE152</f>
        <v>244.51</v>
      </c>
      <c r="AM152" s="1112">
        <f>10.5%*AE152</f>
        <v>104.78999999999999</v>
      </c>
      <c r="AN152" s="1111"/>
      <c r="AO152" s="1111"/>
      <c r="AP152" s="1111"/>
      <c r="AQ152" s="1111"/>
      <c r="AR152" s="1111"/>
      <c r="AS152" s="1111"/>
      <c r="AT152" s="1111"/>
      <c r="AU152" s="1115">
        <v>0.98</v>
      </c>
      <c r="AV152" s="1115"/>
      <c r="AW152" s="1115">
        <v>0.98</v>
      </c>
      <c r="AX152" s="1115"/>
      <c r="AY152" s="1115"/>
      <c r="AZ152" s="989"/>
      <c r="BA152" s="1111"/>
      <c r="BB152" s="1111"/>
      <c r="BC152" s="1524">
        <f t="shared" si="147"/>
        <v>78.565364380000005</v>
      </c>
      <c r="BD152" s="277"/>
      <c r="BE152" s="277"/>
      <c r="BF152" s="277"/>
      <c r="BG152" s="277"/>
      <c r="BH152" s="277"/>
      <c r="BI152" s="277"/>
      <c r="BJ152" s="277"/>
      <c r="BK152" s="277"/>
      <c r="BL152" s="277"/>
      <c r="BM152" s="277"/>
      <c r="BN152" s="277"/>
      <c r="BO152" s="277"/>
      <c r="BP152" s="277"/>
      <c r="BQ152" s="277"/>
      <c r="BR152" s="277"/>
      <c r="BS152" s="277"/>
      <c r="BT152" s="277"/>
      <c r="BU152" s="277"/>
      <c r="BV152" s="277"/>
      <c r="BW152" s="277"/>
      <c r="BX152" s="277"/>
      <c r="BY152" s="277"/>
      <c r="BZ152" s="277"/>
      <c r="CA152" s="277"/>
      <c r="CB152" s="277"/>
      <c r="CC152" s="277"/>
      <c r="CD152" s="277"/>
      <c r="CE152" s="277"/>
      <c r="CF152" s="277"/>
      <c r="CG152" s="277"/>
      <c r="CH152" s="277"/>
      <c r="CI152" s="277"/>
      <c r="CJ152" s="277"/>
      <c r="CK152" s="277"/>
      <c r="CL152" s="277"/>
      <c r="CM152" s="277"/>
      <c r="CN152" s="277"/>
      <c r="CO152" s="277"/>
      <c r="CP152" s="277"/>
      <c r="CQ152" s="277"/>
      <c r="CR152" s="277"/>
      <c r="CS152" s="277"/>
      <c r="CT152" s="277"/>
      <c r="CU152" s="277"/>
      <c r="CV152" s="277"/>
      <c r="CW152" s="277"/>
      <c r="CX152" s="277"/>
      <c r="CY152" s="277"/>
      <c r="CZ152" s="277"/>
      <c r="DA152" s="277"/>
      <c r="DB152" s="277"/>
      <c r="DC152" s="277"/>
      <c r="DD152" s="277"/>
      <c r="DE152" s="277"/>
      <c r="DF152" s="277"/>
      <c r="DG152" s="277"/>
      <c r="DH152" s="277"/>
      <c r="DI152" s="277"/>
      <c r="DJ152" s="277"/>
      <c r="DK152" s="277"/>
      <c r="DL152" s="277"/>
      <c r="DM152" s="277"/>
      <c r="DN152" s="277"/>
      <c r="DO152" s="277"/>
      <c r="DP152" s="277"/>
      <c r="DQ152" s="277"/>
      <c r="DR152" s="277"/>
      <c r="DS152" s="277"/>
      <c r="DT152" s="277"/>
      <c r="DU152" s="277"/>
      <c r="DV152" s="277"/>
      <c r="DW152" s="277"/>
      <c r="DX152" s="277"/>
      <c r="DY152" s="277"/>
      <c r="DZ152" s="277"/>
      <c r="EA152" s="277"/>
      <c r="EB152" s="277"/>
      <c r="EC152" s="277"/>
      <c r="ED152" s="277"/>
      <c r="EE152" s="277"/>
      <c r="EF152" s="277"/>
      <c r="EG152" s="277"/>
      <c r="EH152" s="277"/>
      <c r="EI152" s="277"/>
      <c r="EJ152" s="277"/>
      <c r="EK152" s="277"/>
      <c r="EL152" s="277"/>
      <c r="EM152" s="277"/>
    </row>
    <row r="153" spans="1:143" s="3" customFormat="1" ht="12.5" customHeight="1">
      <c r="A153" s="897" t="str">
        <f t="shared" si="142"/>
        <v>Rapsöl / Pflanzenöl DLG 2014</v>
      </c>
      <c r="B153" s="298">
        <f>IF(D153=""," ",COUNTA($D$8:D153))</f>
        <v>140</v>
      </c>
      <c r="C153" s="327"/>
      <c r="D153" s="887" t="s">
        <v>1027</v>
      </c>
      <c r="E153" s="888" t="str">
        <f>IF(I153=0," ",ROUND(I153/10,0))</f>
        <v xml:space="preserve"> </v>
      </c>
      <c r="F153" s="889" t="s">
        <v>969</v>
      </c>
      <c r="G153" s="890"/>
      <c r="H153" s="884">
        <v>999</v>
      </c>
      <c r="I153" s="884"/>
      <c r="J153" s="884"/>
      <c r="K153" s="884"/>
      <c r="L153" s="878">
        <f t="shared" si="156"/>
        <v>38.925992000000001</v>
      </c>
      <c r="M153" s="882">
        <f>IF(I153=" "," ",$I153*0.021503+0.032497*$AE153+0.016309*$AF153+0.014701*$AJ153-0.021071*$K153)</f>
        <v>32.432006000000001</v>
      </c>
      <c r="N153" s="883"/>
      <c r="O153" s="891"/>
      <c r="P153" s="883"/>
      <c r="Q153" s="891"/>
      <c r="R153" s="883"/>
      <c r="S153" s="891"/>
      <c r="T153" s="883"/>
      <c r="U153" s="891"/>
      <c r="V153" s="883"/>
      <c r="W153" s="883"/>
      <c r="X153" s="891"/>
      <c r="Y153" s="891"/>
      <c r="Z153" s="883"/>
      <c r="AA153" s="882"/>
      <c r="AB153" s="892"/>
      <c r="AC153" s="883"/>
      <c r="AD153" s="883"/>
      <c r="AE153" s="884">
        <v>998</v>
      </c>
      <c r="AF153" s="884"/>
      <c r="AG153" s="884"/>
      <c r="AH153" s="884"/>
      <c r="AI153" s="884"/>
      <c r="AJ153" s="884"/>
      <c r="AK153" s="885">
        <v>289</v>
      </c>
      <c r="AL153" s="885">
        <f>20*AE153/100</f>
        <v>199.6</v>
      </c>
      <c r="AM153" s="885">
        <f>9*AE153/100</f>
        <v>89.82</v>
      </c>
      <c r="AN153" s="884"/>
      <c r="AO153" s="884"/>
      <c r="AP153" s="884"/>
      <c r="AQ153" s="314"/>
      <c r="AR153" s="314"/>
      <c r="AS153" s="884"/>
      <c r="AT153" s="884"/>
      <c r="AU153" s="886">
        <v>0.98</v>
      </c>
      <c r="AV153" s="886"/>
      <c r="AW153" s="886">
        <v>0.98</v>
      </c>
      <c r="AX153" s="886"/>
      <c r="AY153" s="886"/>
      <c r="AZ153" s="882"/>
      <c r="BA153" s="884"/>
      <c r="BB153" s="884"/>
      <c r="BC153" s="878">
        <f t="shared" si="147"/>
        <v>78.565364380000005</v>
      </c>
      <c r="BD153" s="277"/>
      <c r="BE153" s="277"/>
      <c r="BF153" s="277"/>
      <c r="BG153" s="277"/>
      <c r="BH153" s="277"/>
      <c r="BI153" s="277"/>
      <c r="BJ153" s="277"/>
      <c r="BK153" s="277"/>
      <c r="BL153" s="277"/>
      <c r="BM153" s="277"/>
      <c r="BN153" s="277"/>
      <c r="BO153" s="277"/>
      <c r="BP153" s="277"/>
      <c r="BQ153" s="277"/>
      <c r="BR153" s="277"/>
      <c r="BS153" s="277"/>
      <c r="BT153" s="277"/>
      <c r="BU153" s="277"/>
      <c r="BV153" s="277"/>
      <c r="BW153" s="277"/>
      <c r="BX153" s="277"/>
      <c r="BY153" s="277"/>
      <c r="BZ153" s="277"/>
      <c r="CA153" s="277"/>
      <c r="CB153" s="277"/>
      <c r="CC153" s="277"/>
      <c r="CD153" s="277"/>
      <c r="CE153" s="277"/>
      <c r="CF153" s="277"/>
      <c r="CG153" s="277"/>
      <c r="CH153" s="277"/>
      <c r="CI153" s="277"/>
      <c r="CJ153" s="277"/>
      <c r="CK153" s="277"/>
      <c r="CL153" s="277"/>
      <c r="CM153" s="277"/>
      <c r="CN153" s="277"/>
      <c r="CO153" s="277"/>
      <c r="CP153" s="277"/>
      <c r="CQ153" s="277"/>
      <c r="CR153" s="277"/>
      <c r="CS153" s="277"/>
      <c r="CT153" s="277"/>
      <c r="CU153" s="277"/>
      <c r="CV153" s="277"/>
      <c r="CW153" s="277"/>
      <c r="CX153" s="277"/>
      <c r="CY153" s="277"/>
      <c r="CZ153" s="277"/>
      <c r="DA153" s="277"/>
      <c r="DB153" s="277"/>
      <c r="DC153" s="277"/>
      <c r="DD153" s="277"/>
      <c r="DE153" s="277"/>
      <c r="DF153" s="277"/>
      <c r="DG153" s="277"/>
      <c r="DH153" s="277"/>
      <c r="DI153" s="277"/>
      <c r="DJ153" s="277"/>
      <c r="DK153" s="277"/>
      <c r="DL153" s="277"/>
      <c r="DM153" s="277"/>
      <c r="DN153" s="277"/>
      <c r="DO153" s="277"/>
      <c r="DP153" s="277"/>
      <c r="DQ153" s="277"/>
      <c r="DR153" s="277"/>
      <c r="DS153" s="277"/>
      <c r="DT153" s="277"/>
      <c r="DU153" s="277"/>
      <c r="DV153" s="277"/>
      <c r="DW153" s="277"/>
      <c r="DX153" s="277"/>
      <c r="DY153" s="277"/>
      <c r="DZ153" s="277"/>
      <c r="EA153" s="277"/>
      <c r="EB153" s="277"/>
      <c r="EC153" s="277"/>
      <c r="ED153" s="277"/>
      <c r="EE153" s="277"/>
      <c r="EF153" s="277"/>
      <c r="EG153" s="277"/>
      <c r="EH153" s="277"/>
      <c r="EI153" s="277"/>
      <c r="EJ153" s="277"/>
      <c r="EK153" s="277"/>
      <c r="EL153" s="277"/>
      <c r="EM153" s="277"/>
    </row>
    <row r="154" spans="1:143" s="3" customFormat="1" ht="12.5" customHeight="1">
      <c r="A154" s="897" t="str">
        <f t="shared" si="142"/>
        <v>Sojaöl / Pflanzenöl DLG 2014</v>
      </c>
      <c r="B154" s="298">
        <f>IF(D154=""," ",COUNTA($D$8:D154))</f>
        <v>141</v>
      </c>
      <c r="C154" s="327"/>
      <c r="D154" s="887" t="s">
        <v>1026</v>
      </c>
      <c r="E154" s="888" t="str">
        <f t="shared" si="107"/>
        <v xml:space="preserve"> </v>
      </c>
      <c r="F154" s="889" t="s">
        <v>969</v>
      </c>
      <c r="G154" s="890"/>
      <c r="H154" s="884">
        <v>999</v>
      </c>
      <c r="I154" s="884"/>
      <c r="J154" s="884"/>
      <c r="K154" s="884"/>
      <c r="L154" s="878">
        <f t="shared" si="156"/>
        <v>38.925992000000001</v>
      </c>
      <c r="M154" s="882">
        <f>IF(I154=" "," ",$I154*0.021503+0.032497*$AE154+0.016309*$AF154+0.014701*$AJ154-0.021071*$K154)</f>
        <v>32.432006000000001</v>
      </c>
      <c r="N154" s="883"/>
      <c r="O154" s="891"/>
      <c r="P154" s="883"/>
      <c r="Q154" s="891"/>
      <c r="R154" s="883"/>
      <c r="S154" s="891"/>
      <c r="T154" s="883"/>
      <c r="U154" s="891"/>
      <c r="V154" s="883"/>
      <c r="W154" s="883"/>
      <c r="X154" s="891"/>
      <c r="Y154" s="891"/>
      <c r="Z154" s="883"/>
      <c r="AA154" s="882"/>
      <c r="AB154" s="892"/>
      <c r="AC154" s="883"/>
      <c r="AD154" s="883"/>
      <c r="AE154" s="884">
        <v>998</v>
      </c>
      <c r="AF154" s="884"/>
      <c r="AG154" s="884"/>
      <c r="AH154" s="884"/>
      <c r="AI154" s="884"/>
      <c r="AJ154" s="884"/>
      <c r="AK154" s="883">
        <v>579</v>
      </c>
      <c r="AL154" s="883">
        <f>54*AE154/100</f>
        <v>538.91999999999996</v>
      </c>
      <c r="AM154" s="883">
        <f>4*AE154/100</f>
        <v>39.92</v>
      </c>
      <c r="AN154" s="884"/>
      <c r="AO154" s="884"/>
      <c r="AP154" s="884"/>
      <c r="AQ154" s="314"/>
      <c r="AR154" s="314"/>
      <c r="AS154" s="884"/>
      <c r="AT154" s="884"/>
      <c r="AU154" s="886">
        <v>0.98</v>
      </c>
      <c r="AV154" s="886"/>
      <c r="AW154" s="886">
        <v>0.98</v>
      </c>
      <c r="AX154" s="886"/>
      <c r="AY154" s="886"/>
      <c r="AZ154" s="882"/>
      <c r="BA154" s="884"/>
      <c r="BB154" s="884"/>
      <c r="BC154" s="878">
        <f t="shared" si="147"/>
        <v>78.565364380000005</v>
      </c>
      <c r="BD154" s="277"/>
      <c r="BE154" s="277"/>
      <c r="BF154" s="277"/>
      <c r="BG154" s="277"/>
      <c r="BH154" s="277"/>
      <c r="BI154" s="277"/>
      <c r="BJ154" s="277"/>
      <c r="BK154" s="277"/>
      <c r="BL154" s="277"/>
      <c r="BM154" s="277"/>
      <c r="BN154" s="277"/>
      <c r="BO154" s="277"/>
      <c r="BP154" s="277"/>
      <c r="BQ154" s="277"/>
      <c r="BR154" s="277"/>
      <c r="BS154" s="277"/>
      <c r="BT154" s="277"/>
      <c r="BU154" s="277"/>
      <c r="BV154" s="277"/>
      <c r="BW154" s="277"/>
      <c r="BX154" s="277"/>
      <c r="BY154" s="277"/>
      <c r="BZ154" s="277"/>
      <c r="CA154" s="277"/>
      <c r="CB154" s="277"/>
      <c r="CC154" s="277"/>
      <c r="CD154" s="277"/>
      <c r="CE154" s="277"/>
      <c r="CF154" s="277"/>
      <c r="CG154" s="277"/>
      <c r="CH154" s="277"/>
      <c r="CI154" s="277"/>
      <c r="CJ154" s="277"/>
      <c r="CK154" s="277"/>
      <c r="CL154" s="277"/>
      <c r="CM154" s="277"/>
      <c r="CN154" s="277"/>
      <c r="CO154" s="277"/>
      <c r="CP154" s="277"/>
      <c r="CQ154" s="277"/>
      <c r="CR154" s="277"/>
      <c r="CS154" s="277"/>
      <c r="CT154" s="277"/>
      <c r="CU154" s="277"/>
      <c r="CV154" s="277"/>
      <c r="CW154" s="277"/>
      <c r="CX154" s="277"/>
      <c r="CY154" s="277"/>
      <c r="CZ154" s="277"/>
      <c r="DA154" s="277"/>
      <c r="DB154" s="277"/>
      <c r="DC154" s="277"/>
      <c r="DD154" s="277"/>
      <c r="DE154" s="277"/>
      <c r="DF154" s="277"/>
      <c r="DG154" s="277"/>
      <c r="DH154" s="277"/>
      <c r="DI154" s="277"/>
      <c r="DJ154" s="277"/>
      <c r="DK154" s="277"/>
      <c r="DL154" s="277"/>
      <c r="DM154" s="277"/>
      <c r="DN154" s="277"/>
      <c r="DO154" s="277"/>
      <c r="DP154" s="277"/>
      <c r="DQ154" s="277"/>
      <c r="DR154" s="277"/>
      <c r="DS154" s="277"/>
      <c r="DT154" s="277"/>
      <c r="DU154" s="277"/>
      <c r="DV154" s="277"/>
      <c r="DW154" s="277"/>
      <c r="DX154" s="277"/>
      <c r="DY154" s="277"/>
      <c r="DZ154" s="277"/>
      <c r="EA154" s="277"/>
      <c r="EB154" s="277"/>
      <c r="EC154" s="277"/>
      <c r="ED154" s="277"/>
      <c r="EE154" s="277"/>
      <c r="EF154" s="277"/>
      <c r="EG154" s="277"/>
      <c r="EH154" s="277"/>
      <c r="EI154" s="277"/>
      <c r="EJ154" s="277"/>
      <c r="EK154" s="277"/>
      <c r="EL154" s="277"/>
      <c r="EM154" s="277"/>
    </row>
    <row r="155" spans="1:143" s="3" customFormat="1" ht="12.5" customHeight="1">
      <c r="A155" s="897" t="str">
        <f t="shared" si="142"/>
        <v xml:space="preserve">Reinglycerin 99,5 - 99,9 % </v>
      </c>
      <c r="B155" s="298">
        <f>IF(D155=""," ",COUNTA($D$8:D155))</f>
        <v>142</v>
      </c>
      <c r="C155" s="327"/>
      <c r="D155" s="479" t="s">
        <v>277</v>
      </c>
      <c r="E155" s="617" t="str">
        <f t="shared" si="107"/>
        <v xml:space="preserve"> </v>
      </c>
      <c r="F155" s="299"/>
      <c r="G155" s="300"/>
      <c r="H155" s="275">
        <v>997</v>
      </c>
      <c r="I155" s="275"/>
      <c r="J155" s="275"/>
      <c r="K155" s="275"/>
      <c r="L155" s="303">
        <v>17.5</v>
      </c>
      <c r="M155" s="303">
        <v>17.5</v>
      </c>
      <c r="N155" s="274"/>
      <c r="O155" s="301"/>
      <c r="P155" s="274"/>
      <c r="Q155" s="301"/>
      <c r="R155" s="274"/>
      <c r="S155" s="301"/>
      <c r="T155" s="274"/>
      <c r="U155" s="301"/>
      <c r="V155" s="274"/>
      <c r="W155" s="274"/>
      <c r="X155" s="301"/>
      <c r="Y155" s="301"/>
      <c r="Z155" s="274"/>
      <c r="AA155" s="303"/>
      <c r="AB155" s="276"/>
      <c r="AC155" s="311"/>
      <c r="AD155" s="311"/>
      <c r="AE155" s="321"/>
      <c r="AF155" s="321"/>
      <c r="AG155" s="321"/>
      <c r="AH155" s="321"/>
      <c r="AI155" s="321"/>
      <c r="AJ155" s="321"/>
      <c r="AK155" s="311"/>
      <c r="AL155" s="311"/>
      <c r="AM155" s="311"/>
      <c r="AN155" s="321"/>
      <c r="AO155" s="321"/>
      <c r="AP155" s="321"/>
      <c r="AQ155" s="612"/>
      <c r="AR155" s="847"/>
      <c r="AS155" s="321"/>
      <c r="AT155" s="321"/>
      <c r="AU155" s="852"/>
      <c r="AV155" s="852"/>
      <c r="AW155" s="852"/>
      <c r="AX155" s="852"/>
      <c r="AY155" s="852"/>
      <c r="AZ155" s="303"/>
      <c r="BA155" s="321"/>
      <c r="BB155" s="321"/>
      <c r="BC155" s="303">
        <f t="shared" si="147"/>
        <v>12.775</v>
      </c>
      <c r="BD155" s="277"/>
      <c r="BE155" s="277"/>
      <c r="BF155" s="277"/>
      <c r="BG155" s="277"/>
      <c r="BH155" s="277"/>
      <c r="BI155" s="277"/>
      <c r="BJ155" s="277"/>
      <c r="BK155" s="277"/>
      <c r="BL155" s="277"/>
      <c r="BM155" s="277"/>
      <c r="BN155" s="277"/>
      <c r="BO155" s="277"/>
      <c r="BP155" s="277"/>
      <c r="BQ155" s="277"/>
      <c r="BR155" s="277"/>
      <c r="BS155" s="277"/>
      <c r="BT155" s="277"/>
      <c r="BU155" s="277"/>
      <c r="BV155" s="277"/>
      <c r="BW155" s="277"/>
      <c r="BX155" s="277"/>
      <c r="BY155" s="277"/>
      <c r="BZ155" s="277"/>
      <c r="CA155" s="277"/>
      <c r="CB155" s="277"/>
      <c r="CC155" s="277"/>
      <c r="CD155" s="277"/>
      <c r="CE155" s="277"/>
      <c r="CF155" s="277"/>
      <c r="CG155" s="277"/>
      <c r="CH155" s="277"/>
      <c r="CI155" s="277"/>
      <c r="CJ155" s="277"/>
      <c r="CK155" s="277"/>
      <c r="CL155" s="277"/>
      <c r="CM155" s="277"/>
      <c r="CN155" s="277"/>
      <c r="CO155" s="277"/>
      <c r="CP155" s="277"/>
      <c r="CQ155" s="277"/>
      <c r="CR155" s="277"/>
      <c r="CS155" s="277"/>
      <c r="CT155" s="277"/>
      <c r="CU155" s="277"/>
      <c r="CV155" s="277"/>
      <c r="CW155" s="277"/>
      <c r="CX155" s="277"/>
      <c r="CY155" s="277"/>
      <c r="CZ155" s="277"/>
      <c r="DA155" s="277"/>
      <c r="DB155" s="277"/>
      <c r="DC155" s="277"/>
      <c r="DD155" s="277"/>
      <c r="DE155" s="277"/>
      <c r="DF155" s="277"/>
      <c r="DG155" s="277"/>
      <c r="DH155" s="277"/>
      <c r="DI155" s="277"/>
      <c r="DJ155" s="277"/>
      <c r="DK155" s="277"/>
      <c r="DL155" s="277"/>
      <c r="DM155" s="277"/>
      <c r="DN155" s="277"/>
      <c r="DO155" s="277"/>
      <c r="DP155" s="277"/>
      <c r="DQ155" s="277"/>
      <c r="DR155" s="277"/>
      <c r="DS155" s="277"/>
      <c r="DT155" s="277"/>
      <c r="DU155" s="277"/>
      <c r="DV155" s="277"/>
      <c r="DW155" s="277"/>
      <c r="DX155" s="277"/>
      <c r="DY155" s="277"/>
      <c r="DZ155" s="277"/>
      <c r="EA155" s="277"/>
      <c r="EB155" s="277"/>
      <c r="EC155" s="277"/>
      <c r="ED155" s="277"/>
      <c r="EE155" s="277"/>
      <c r="EF155" s="277"/>
      <c r="EG155" s="277"/>
      <c r="EH155" s="277"/>
      <c r="EI155" s="277"/>
      <c r="EJ155" s="277"/>
      <c r="EK155" s="277"/>
      <c r="EL155" s="277"/>
      <c r="EM155" s="277"/>
    </row>
    <row r="156" spans="1:143" s="3" customFormat="1" ht="12.5" customHeight="1">
      <c r="A156" s="897" t="str">
        <f t="shared" si="142"/>
        <v>Rohglycerin 80 - 82 % DLG 2014</v>
      </c>
      <c r="B156" s="298">
        <f>IF(D156=""," ",COUNTA($D$8:D156))</f>
        <v>143</v>
      </c>
      <c r="C156" s="327"/>
      <c r="D156" s="479" t="s">
        <v>278</v>
      </c>
      <c r="E156" s="617" t="str">
        <f t="shared" si="107"/>
        <v xml:space="preserve"> </v>
      </c>
      <c r="F156" s="319" t="s">
        <v>969</v>
      </c>
      <c r="G156" s="300"/>
      <c r="H156" s="275">
        <v>880</v>
      </c>
      <c r="I156" s="275"/>
      <c r="J156" s="275"/>
      <c r="K156" s="275"/>
      <c r="L156" s="303">
        <f t="shared" ref="L156:L164" si="157">I156*0.0205*AV156+0.0398*AW156*AE156+0.0173*AF156+0.016*$AG156+0.0147*AI156</f>
        <v>14.37224</v>
      </c>
      <c r="M156" s="322">
        <f>L156</f>
        <v>14.37224</v>
      </c>
      <c r="N156" s="274"/>
      <c r="O156" s="301"/>
      <c r="P156" s="274"/>
      <c r="Q156" s="301"/>
      <c r="R156" s="274"/>
      <c r="S156" s="301"/>
      <c r="T156" s="274"/>
      <c r="U156" s="301"/>
      <c r="V156" s="274"/>
      <c r="W156" s="274"/>
      <c r="X156" s="301"/>
      <c r="Y156" s="301"/>
      <c r="Z156" s="274"/>
      <c r="AA156" s="303">
        <v>17.600000000000001</v>
      </c>
      <c r="AB156" s="276"/>
      <c r="AC156" s="311"/>
      <c r="AD156" s="311"/>
      <c r="AE156" s="321">
        <v>84</v>
      </c>
      <c r="AF156" s="321"/>
      <c r="AG156" s="321">
        <v>752</v>
      </c>
      <c r="AH156" s="321">
        <v>48</v>
      </c>
      <c r="AI156" s="321"/>
      <c r="AJ156" s="321"/>
      <c r="AK156" s="311">
        <f>AK154/AE154/99*AE156*88</f>
        <v>43.318637274549097</v>
      </c>
      <c r="AL156" s="311">
        <f>54*AE156/100</f>
        <v>45.36</v>
      </c>
      <c r="AM156" s="311">
        <f>4*AE156/100</f>
        <v>3.36</v>
      </c>
      <c r="AN156" s="321"/>
      <c r="AO156" s="321"/>
      <c r="AP156" s="321"/>
      <c r="AQ156" s="612">
        <f t="shared" si="148"/>
        <v>477.47064788732399</v>
      </c>
      <c r="AR156" s="847"/>
      <c r="AS156" s="321"/>
      <c r="AT156" s="321"/>
      <c r="AU156" s="852">
        <v>0.82</v>
      </c>
      <c r="AV156" s="852">
        <v>0</v>
      </c>
      <c r="AW156" s="852">
        <v>0.7</v>
      </c>
      <c r="AX156" s="852"/>
      <c r="AY156" s="852"/>
      <c r="AZ156" s="303">
        <f>(0.93*23*AA156)/35.5+Z156</f>
        <v>10.604619718309861</v>
      </c>
      <c r="BA156" s="321"/>
      <c r="BB156" s="321"/>
      <c r="BC156" s="303">
        <f>IF(H156="","",0.73*M156+0.055*AE156+0.015*AF156-0.02148*I156-0.041*K156)</f>
        <v>15.111735199999998</v>
      </c>
      <c r="BD156" s="277"/>
      <c r="BE156" s="277"/>
      <c r="BF156" s="277"/>
      <c r="BG156" s="277"/>
      <c r="BH156" s="277"/>
      <c r="BI156" s="277"/>
      <c r="BJ156" s="277"/>
      <c r="BK156" s="277"/>
      <c r="BL156" s="277"/>
      <c r="BM156" s="277"/>
      <c r="BN156" s="277"/>
      <c r="BO156" s="277"/>
      <c r="BP156" s="277"/>
      <c r="BQ156" s="277"/>
      <c r="BR156" s="277"/>
      <c r="BS156" s="277"/>
      <c r="BT156" s="277"/>
      <c r="BU156" s="277"/>
      <c r="BV156" s="277"/>
      <c r="BW156" s="277"/>
      <c r="BX156" s="277"/>
      <c r="BY156" s="277"/>
      <c r="BZ156" s="277"/>
      <c r="CA156" s="277"/>
      <c r="CB156" s="277"/>
      <c r="CC156" s="277"/>
      <c r="CD156" s="277"/>
      <c r="CE156" s="277"/>
      <c r="CF156" s="277"/>
      <c r="CG156" s="277"/>
      <c r="CH156" s="277"/>
      <c r="CI156" s="277"/>
      <c r="CJ156" s="277"/>
      <c r="CK156" s="277"/>
      <c r="CL156" s="277"/>
      <c r="CM156" s="277"/>
      <c r="CN156" s="277"/>
      <c r="CO156" s="277"/>
      <c r="CP156" s="277"/>
      <c r="CQ156" s="277"/>
      <c r="CR156" s="277"/>
      <c r="CS156" s="277"/>
      <c r="CT156" s="277"/>
      <c r="CU156" s="277"/>
      <c r="CV156" s="277"/>
      <c r="CW156" s="277"/>
      <c r="CX156" s="277"/>
      <c r="CY156" s="277"/>
      <c r="CZ156" s="277"/>
      <c r="DA156" s="277"/>
      <c r="DB156" s="277"/>
      <c r="DC156" s="277"/>
      <c r="DD156" s="277"/>
      <c r="DE156" s="277"/>
      <c r="DF156" s="277"/>
      <c r="DG156" s="277"/>
      <c r="DH156" s="277"/>
      <c r="DI156" s="277"/>
      <c r="DJ156" s="277"/>
      <c r="DK156" s="277"/>
      <c r="DL156" s="277"/>
      <c r="DM156" s="277"/>
      <c r="DN156" s="277"/>
      <c r="DO156" s="277"/>
      <c r="DP156" s="277"/>
      <c r="DQ156" s="277"/>
      <c r="DR156" s="277"/>
      <c r="DS156" s="277"/>
      <c r="DT156" s="277"/>
      <c r="DU156" s="277"/>
      <c r="DV156" s="277"/>
      <c r="DW156" s="277"/>
      <c r="DX156" s="277"/>
      <c r="DY156" s="277"/>
      <c r="DZ156" s="277"/>
      <c r="EA156" s="277"/>
      <c r="EB156" s="277"/>
      <c r="EC156" s="277"/>
      <c r="ED156" s="277"/>
      <c r="EE156" s="277"/>
      <c r="EF156" s="277"/>
      <c r="EG156" s="277"/>
      <c r="EH156" s="277"/>
      <c r="EI156" s="277"/>
      <c r="EJ156" s="277"/>
      <c r="EK156" s="277"/>
      <c r="EL156" s="277"/>
      <c r="EM156" s="277"/>
    </row>
    <row r="157" spans="1:143" s="4" customFormat="1" ht="12.5" customHeight="1">
      <c r="A157" s="897" t="str">
        <f>IF(E157=" ",D157&amp;" "&amp;F157,D157&amp;" "&amp;E157&amp;"% RP "&amp;F157)</f>
        <v>Sojabohnenschalen 12% RP DLG 2014</v>
      </c>
      <c r="B157" s="298">
        <f>IF(D157=""," ",COUNTA($D$8:D157))</f>
        <v>144</v>
      </c>
      <c r="C157" s="327"/>
      <c r="D157" s="482" t="s">
        <v>677</v>
      </c>
      <c r="E157" s="617">
        <f>IF(I157=0," ",ROUND(I157/10,0))</f>
        <v>12</v>
      </c>
      <c r="F157" s="319" t="s">
        <v>969</v>
      </c>
      <c r="G157" s="320"/>
      <c r="H157" s="321">
        <v>880</v>
      </c>
      <c r="I157" s="321">
        <v>119</v>
      </c>
      <c r="J157" s="321">
        <f>I157*0.54</f>
        <v>64.260000000000005</v>
      </c>
      <c r="K157" s="321">
        <v>334</v>
      </c>
      <c r="L157" s="303">
        <f t="shared" si="157"/>
        <v>7.2218359999999997</v>
      </c>
      <c r="M157" s="322">
        <f>IF(I157=""," ",$I157*0.021503+0.032497*$AE157+0.016309*$AF157+0.014701*$AJ157-0.021071*$K157)</f>
        <v>1.6027420000000001</v>
      </c>
      <c r="N157" s="311">
        <f>IF(I157=0," ",(I157/H157*880*0.054+1.08)/880*H157)</f>
        <v>7.5060000000000002</v>
      </c>
      <c r="O157" s="302">
        <f>IF(N157=" "," ",N157*0.56)</f>
        <v>4.2033600000000009</v>
      </c>
      <c r="P157" s="311">
        <f>IF(N157=" "," ",(I157/H157*880*0.0262+0.14)/880*H157)</f>
        <v>3.2578</v>
      </c>
      <c r="Q157" s="302">
        <f>IF(N157=" "," ",P157*(1.1*0.68+1.9*0.62)/3)</f>
        <v>2.0915076000000004</v>
      </c>
      <c r="R157" s="311">
        <f>IF(N157=" "," ",(I157/H157*880*0.0385-0.27)/880*H157)</f>
        <v>4.3115000000000006</v>
      </c>
      <c r="S157" s="302">
        <f>IF(N157=" "," ",R157*0.62)</f>
        <v>2.6731300000000005</v>
      </c>
      <c r="T157" s="311">
        <f>IF(N157=" "," ",(I157/H157*880*0.0118+0.07)/880*H157)</f>
        <v>1.4742</v>
      </c>
      <c r="U157" s="302">
        <f>IF(N157=" "," ",T157*0.6)</f>
        <v>0.88451999999999997</v>
      </c>
      <c r="V157" s="311">
        <v>4.8</v>
      </c>
      <c r="W157" s="311">
        <v>1.4</v>
      </c>
      <c r="X157" s="302">
        <f>W157*0.3</f>
        <v>0.42</v>
      </c>
      <c r="Y157" s="302">
        <f>IF($I157=0," ",W157*0.65)</f>
        <v>0.90999999999999992</v>
      </c>
      <c r="Z157" s="311">
        <v>1.8</v>
      </c>
      <c r="AA157" s="322">
        <v>0.18</v>
      </c>
      <c r="AB157" s="323">
        <v>10.8</v>
      </c>
      <c r="AC157" s="311">
        <f>IF($I157=""," ",($I157/H157*880*0.0149-0.46)/880*H157)</f>
        <v>1.3130999999999999</v>
      </c>
      <c r="AD157" s="311">
        <f>AC157*0.68</f>
        <v>0.89290800000000004</v>
      </c>
      <c r="AE157" s="321">
        <v>23</v>
      </c>
      <c r="AF157" s="321">
        <v>26</v>
      </c>
      <c r="AG157" s="321">
        <v>23</v>
      </c>
      <c r="AH157" s="321">
        <v>44</v>
      </c>
      <c r="AI157" s="612">
        <f t="shared" ref="AI157:AI164" si="158">(H157-AH157)*AU157-I157*AV157-AE157*AW157-AF157-AG157</f>
        <v>333.58000000000004</v>
      </c>
      <c r="AJ157" s="321">
        <f t="shared" ref="AJ157:AJ165" si="159">IF($I157=""," ",$H157-($AE157+$AF157+$AH157+$I157+$K157))</f>
        <v>334</v>
      </c>
      <c r="AK157" s="311">
        <v>19.8</v>
      </c>
      <c r="AL157" s="311">
        <f>AK157*$AL$104/$AK$104</f>
        <v>18.434482758620689</v>
      </c>
      <c r="AM157" s="311">
        <f>AK157*$AM$104/$AK$104</f>
        <v>1.3655172413793104</v>
      </c>
      <c r="AN157" s="321"/>
      <c r="AO157" s="321"/>
      <c r="AP157" s="321"/>
      <c r="AQ157" s="612">
        <f t="shared" si="148"/>
        <v>494.03259999999995</v>
      </c>
      <c r="AR157" s="847">
        <v>1210</v>
      </c>
      <c r="AS157" s="321">
        <f t="shared" ref="AS157:AS164" si="160">AX157*K157+AY157*AT157-AF157-AG157</f>
        <v>360.76</v>
      </c>
      <c r="AT157" s="321">
        <f t="shared" ref="AT157:AT169" si="161">IF(H157=""," ",H157-I157-AE157-AH157-K157)</f>
        <v>360</v>
      </c>
      <c r="AU157" s="852">
        <v>0.54</v>
      </c>
      <c r="AV157" s="852">
        <v>0.54</v>
      </c>
      <c r="AW157" s="852">
        <v>0.2</v>
      </c>
      <c r="AX157" s="852">
        <v>0.44</v>
      </c>
      <c r="AY157" s="852">
        <v>0.73</v>
      </c>
      <c r="AZ157" s="322">
        <f>2.4*H157/1000</f>
        <v>2.1120000000000001</v>
      </c>
      <c r="BA157" s="321">
        <v>352</v>
      </c>
      <c r="BB157" s="321">
        <v>528</v>
      </c>
      <c r="BC157" s="303">
        <f t="shared" si="147"/>
        <v>-14.20099834</v>
      </c>
      <c r="BD157" s="277"/>
      <c r="BE157" s="277"/>
      <c r="BF157" s="277"/>
      <c r="BG157" s="277"/>
      <c r="BH157" s="277"/>
      <c r="BI157" s="277"/>
      <c r="BJ157" s="277"/>
      <c r="BK157" s="277"/>
      <c r="BL157" s="277"/>
      <c r="BM157" s="277"/>
      <c r="BN157" s="277"/>
      <c r="BO157" s="277"/>
      <c r="BP157" s="277"/>
      <c r="BQ157" s="277"/>
      <c r="BR157" s="277"/>
      <c r="BS157" s="277"/>
      <c r="BT157" s="277"/>
      <c r="BU157" s="277"/>
      <c r="BV157" s="277"/>
      <c r="BW157" s="277"/>
      <c r="BX157" s="277"/>
      <c r="BY157" s="277"/>
      <c r="BZ157" s="277"/>
      <c r="CA157" s="277"/>
      <c r="CB157" s="277"/>
      <c r="CC157" s="277"/>
      <c r="CD157" s="277"/>
      <c r="CE157" s="277"/>
      <c r="CF157" s="277"/>
      <c r="CG157" s="277"/>
      <c r="CH157" s="277"/>
      <c r="CI157" s="277"/>
      <c r="CJ157" s="277"/>
      <c r="CK157" s="277"/>
      <c r="CL157" s="277"/>
      <c r="CM157" s="277"/>
      <c r="CN157" s="277"/>
      <c r="CO157" s="277"/>
      <c r="CP157" s="277"/>
      <c r="CQ157" s="277"/>
      <c r="CR157" s="277"/>
      <c r="CS157" s="277"/>
      <c r="CT157" s="277"/>
      <c r="CU157" s="277"/>
      <c r="CV157" s="277"/>
      <c r="CW157" s="277"/>
      <c r="CX157" s="277"/>
      <c r="CY157" s="277"/>
      <c r="CZ157" s="277"/>
      <c r="DA157" s="277"/>
      <c r="DB157" s="277"/>
      <c r="DC157" s="277"/>
      <c r="DD157" s="277"/>
      <c r="DE157" s="277"/>
      <c r="DF157" s="277"/>
      <c r="DG157" s="277"/>
      <c r="DH157" s="277"/>
      <c r="DI157" s="277"/>
      <c r="DJ157" s="277"/>
      <c r="DK157" s="277"/>
      <c r="DL157" s="277"/>
      <c r="DM157" s="277"/>
      <c r="DN157" s="277"/>
      <c r="DO157" s="277"/>
      <c r="DP157" s="277"/>
      <c r="DQ157" s="277"/>
      <c r="DR157" s="277"/>
      <c r="DS157" s="277"/>
      <c r="DT157" s="277"/>
      <c r="DU157" s="277"/>
      <c r="DV157" s="277"/>
      <c r="DW157" s="277"/>
      <c r="DX157" s="277"/>
      <c r="DY157" s="277"/>
      <c r="DZ157" s="277"/>
      <c r="EA157" s="277"/>
      <c r="EB157" s="277"/>
      <c r="EC157" s="277"/>
      <c r="ED157" s="277"/>
      <c r="EE157" s="277"/>
      <c r="EF157" s="277"/>
      <c r="EG157" s="277"/>
      <c r="EH157" s="277"/>
      <c r="EI157" s="277"/>
      <c r="EJ157" s="277"/>
      <c r="EK157" s="277"/>
      <c r="EL157" s="277"/>
      <c r="EM157" s="277"/>
    </row>
    <row r="158" spans="1:143" s="3" customFormat="1" ht="12.5" customHeight="1">
      <c r="A158" s="897" t="str">
        <f t="shared" si="142"/>
        <v>Stroh, Gerste 4% RP DLG 2014</v>
      </c>
      <c r="B158" s="298">
        <f>IF(D158=""," ",COUNTA($D$8:D158))</f>
        <v>145</v>
      </c>
      <c r="C158" s="327"/>
      <c r="D158" s="479" t="s">
        <v>631</v>
      </c>
      <c r="E158" s="617">
        <f t="shared" si="107"/>
        <v>4</v>
      </c>
      <c r="F158" s="319" t="s">
        <v>969</v>
      </c>
      <c r="G158" s="300"/>
      <c r="H158" s="275">
        <v>860</v>
      </c>
      <c r="I158" s="275">
        <v>39</v>
      </c>
      <c r="J158" s="275">
        <f>I158*0.1</f>
        <v>3.9000000000000004</v>
      </c>
      <c r="K158" s="275">
        <v>374</v>
      </c>
      <c r="L158" s="303">
        <f t="shared" si="157"/>
        <v>1.9308619999999999</v>
      </c>
      <c r="M158" s="322">
        <f>IF(I158=""," ",$I158*0.021503+0.032497*$AE158+0.016309*$AF158+0.014701*$AJ158-0.021071*$K158)</f>
        <v>-0.98589799999999883</v>
      </c>
      <c r="N158" s="274">
        <v>0.8</v>
      </c>
      <c r="O158" s="301"/>
      <c r="P158" s="274">
        <v>0.4</v>
      </c>
      <c r="Q158" s="326"/>
      <c r="R158" s="274">
        <v>1.5</v>
      </c>
      <c r="S158" s="301"/>
      <c r="T158" s="274">
        <v>0.2</v>
      </c>
      <c r="U158" s="301"/>
      <c r="V158" s="274">
        <v>4.3</v>
      </c>
      <c r="W158" s="274">
        <v>0.7</v>
      </c>
      <c r="X158" s="301">
        <f>W158*0.1</f>
        <v>6.9999999999999993E-2</v>
      </c>
      <c r="Y158" s="301">
        <f>W158*0.65</f>
        <v>0.45499999999999996</v>
      </c>
      <c r="Z158" s="274">
        <v>0.9</v>
      </c>
      <c r="AA158" s="303">
        <v>1.7</v>
      </c>
      <c r="AB158" s="276">
        <v>13</v>
      </c>
      <c r="AC158" s="274">
        <v>0.2</v>
      </c>
      <c r="AD158" s="326"/>
      <c r="AE158" s="321">
        <v>14</v>
      </c>
      <c r="AF158" s="321"/>
      <c r="AG158" s="321">
        <f>7*H158/1000</f>
        <v>6.02</v>
      </c>
      <c r="AH158" s="321">
        <v>52</v>
      </c>
      <c r="AI158" s="612">
        <f t="shared" si="158"/>
        <v>119.36</v>
      </c>
      <c r="AJ158" s="321">
        <f t="shared" si="159"/>
        <v>381</v>
      </c>
      <c r="AK158" s="311">
        <v>5.8</v>
      </c>
      <c r="AL158" s="311"/>
      <c r="AM158" s="311"/>
      <c r="AN158" s="321"/>
      <c r="AO158" s="321"/>
      <c r="AP158" s="321"/>
      <c r="AQ158" s="612">
        <f t="shared" si="148"/>
        <v>506.70400000000001</v>
      </c>
      <c r="AR158" s="847">
        <f t="shared" ref="AR158:AR168" si="162">IF(H158="","",V158/1000*20140+Z158/1000*48600+1100/440*I158)</f>
        <v>227.84200000000001</v>
      </c>
      <c r="AS158" s="321">
        <f t="shared" si="160"/>
        <v>382.56000000000006</v>
      </c>
      <c r="AT158" s="321">
        <f t="shared" si="161"/>
        <v>381</v>
      </c>
      <c r="AU158" s="852">
        <v>0.16</v>
      </c>
      <c r="AV158" s="852">
        <v>0.1</v>
      </c>
      <c r="AW158" s="852">
        <v>0</v>
      </c>
      <c r="AX158" s="852">
        <v>0.55000000000000004</v>
      </c>
      <c r="AY158" s="852">
        <v>0.48</v>
      </c>
      <c r="AZ158" s="303">
        <f>6.2*H158/1000</f>
        <v>5.3319999999999999</v>
      </c>
      <c r="BA158" s="321">
        <f>509*H158/1000</f>
        <v>437.74</v>
      </c>
      <c r="BB158" s="321">
        <f>811*H158/1000</f>
        <v>697.46</v>
      </c>
      <c r="BC158" s="303">
        <f t="shared" si="147"/>
        <v>-16.375705540000002</v>
      </c>
      <c r="BD158" s="277"/>
      <c r="BE158" s="277"/>
      <c r="BF158" s="277"/>
      <c r="BG158" s="277"/>
      <c r="BH158" s="277"/>
      <c r="BI158" s="277"/>
      <c r="BJ158" s="277"/>
      <c r="BK158" s="277"/>
      <c r="BL158" s="277"/>
      <c r="BM158" s="277"/>
      <c r="BN158" s="277"/>
      <c r="BO158" s="277"/>
      <c r="BP158" s="277"/>
      <c r="BQ158" s="277"/>
      <c r="BR158" s="277"/>
      <c r="BS158" s="277"/>
      <c r="BT158" s="277"/>
      <c r="BU158" s="277"/>
      <c r="BV158" s="277"/>
      <c r="BW158" s="277"/>
      <c r="BX158" s="277"/>
      <c r="BY158" s="277"/>
      <c r="BZ158" s="277"/>
      <c r="CA158" s="277"/>
      <c r="CB158" s="277"/>
      <c r="CC158" s="277"/>
      <c r="CD158" s="277"/>
      <c r="CE158" s="277"/>
      <c r="CF158" s="277"/>
      <c r="CG158" s="277"/>
      <c r="CH158" s="277"/>
      <c r="CI158" s="277"/>
      <c r="CJ158" s="277"/>
      <c r="CK158" s="277"/>
      <c r="CL158" s="277"/>
      <c r="CM158" s="277"/>
      <c r="CN158" s="277"/>
      <c r="CO158" s="277"/>
      <c r="CP158" s="277"/>
      <c r="CQ158" s="277"/>
      <c r="CR158" s="277"/>
      <c r="CS158" s="277"/>
      <c r="CT158" s="277"/>
      <c r="CU158" s="277"/>
      <c r="CV158" s="277"/>
      <c r="CW158" s="277"/>
      <c r="CX158" s="277"/>
      <c r="CY158" s="277"/>
      <c r="CZ158" s="277"/>
      <c r="DA158" s="277"/>
      <c r="DB158" s="277"/>
      <c r="DC158" s="277"/>
      <c r="DD158" s="277"/>
      <c r="DE158" s="277"/>
      <c r="DF158" s="277"/>
      <c r="DG158" s="277"/>
      <c r="DH158" s="277"/>
      <c r="DI158" s="277"/>
      <c r="DJ158" s="277"/>
      <c r="DK158" s="277"/>
      <c r="DL158" s="277"/>
      <c r="DM158" s="277"/>
      <c r="DN158" s="277"/>
      <c r="DO158" s="277"/>
      <c r="DP158" s="277"/>
      <c r="DQ158" s="277"/>
      <c r="DR158" s="277"/>
      <c r="DS158" s="277"/>
      <c r="DT158" s="277"/>
      <c r="DU158" s="277"/>
      <c r="DV158" s="277"/>
      <c r="DW158" s="277"/>
      <c r="DX158" s="277"/>
      <c r="DY158" s="277"/>
      <c r="DZ158" s="277"/>
      <c r="EA158" s="277"/>
      <c r="EB158" s="277"/>
      <c r="EC158" s="277"/>
      <c r="ED158" s="277"/>
      <c r="EE158" s="277"/>
      <c r="EF158" s="277"/>
      <c r="EG158" s="277"/>
      <c r="EH158" s="277"/>
      <c r="EI158" s="277"/>
      <c r="EJ158" s="277"/>
      <c r="EK158" s="277"/>
      <c r="EL158" s="277"/>
      <c r="EM158" s="277"/>
    </row>
    <row r="159" spans="1:143" s="3" customFormat="1" ht="12.5" customHeight="1">
      <c r="A159" s="897" t="str">
        <f>IF(E159=" ",D159&amp;" "&amp;F159,D159&amp;" "&amp;E159&amp;"% RP "&amp;F159)</f>
        <v>Stroh, Weizen 3% RP DLG 2014</v>
      </c>
      <c r="B159" s="298">
        <f>IF(D159=""," ",COUNTA($D$8:D159))</f>
        <v>146</v>
      </c>
      <c r="C159" s="327"/>
      <c r="D159" s="479" t="s">
        <v>999</v>
      </c>
      <c r="E159" s="617">
        <f>IF(I159=0," ",ROUND(I159/10,0))</f>
        <v>3</v>
      </c>
      <c r="F159" s="319" t="s">
        <v>969</v>
      </c>
      <c r="G159" s="300"/>
      <c r="H159" s="275">
        <v>860</v>
      </c>
      <c r="I159" s="275">
        <v>34</v>
      </c>
      <c r="J159" s="275">
        <f>I159*0.1</f>
        <v>3.4000000000000004</v>
      </c>
      <c r="K159" s="275">
        <v>370</v>
      </c>
      <c r="L159" s="303">
        <f t="shared" si="157"/>
        <v>1.8986599999999998</v>
      </c>
      <c r="M159" s="322">
        <f>IF(I159=""," ",$I159*0.021503+0.032497*$AE159+0.016309*$AF159+0.014701*$AJ159-0.021071*$K159)</f>
        <v>-1.121321</v>
      </c>
      <c r="N159" s="274">
        <v>0.7</v>
      </c>
      <c r="O159" s="301"/>
      <c r="P159" s="274">
        <v>0.3</v>
      </c>
      <c r="Q159" s="326"/>
      <c r="R159" s="274">
        <v>1.4</v>
      </c>
      <c r="S159" s="301"/>
      <c r="T159" s="274">
        <v>0.2</v>
      </c>
      <c r="U159" s="301"/>
      <c r="V159" s="274">
        <v>2.6</v>
      </c>
      <c r="W159" s="274">
        <v>0.7</v>
      </c>
      <c r="X159" s="301">
        <f>W159*0.1</f>
        <v>6.9999999999999993E-2</v>
      </c>
      <c r="Y159" s="301">
        <f>W159*0.65</f>
        <v>0.45499999999999996</v>
      </c>
      <c r="Z159" s="274">
        <v>0.9</v>
      </c>
      <c r="AA159" s="303">
        <v>1.3</v>
      </c>
      <c r="AB159" s="276">
        <v>9</v>
      </c>
      <c r="AC159" s="274">
        <v>0.2</v>
      </c>
      <c r="AD159" s="326"/>
      <c r="AE159" s="321">
        <v>11</v>
      </c>
      <c r="AF159" s="321"/>
      <c r="AG159" s="321">
        <v>7</v>
      </c>
      <c r="AH159" s="321">
        <v>65</v>
      </c>
      <c r="AI159" s="612">
        <f>(H159-AH159)*AU159-I159*AV159-AE159*AW159-AF159-AG159</f>
        <v>116.8</v>
      </c>
      <c r="AJ159" s="321">
        <f t="shared" si="159"/>
        <v>380</v>
      </c>
      <c r="AK159" s="311">
        <v>5</v>
      </c>
      <c r="AL159" s="311"/>
      <c r="AM159" s="311"/>
      <c r="AN159" s="321"/>
      <c r="AO159" s="321"/>
      <c r="AP159" s="321"/>
      <c r="AQ159" s="612">
        <f>IF(H159="","",50*V159+83*Z159+26*AB159+44*AA159-59*W159-13*P159-28*AZ159)</f>
        <v>301.404</v>
      </c>
      <c r="AR159" s="847">
        <f>IF(H159="","",V159/1000*20140+Z159/1000*48600+1100/440*I159)</f>
        <v>181.10399999999998</v>
      </c>
      <c r="AS159" s="321">
        <f>AX159*K159+AY159*AT159-AF159-AG159</f>
        <v>378.90000000000003</v>
      </c>
      <c r="AT159" s="321">
        <f t="shared" si="161"/>
        <v>380</v>
      </c>
      <c r="AU159" s="852">
        <v>0.16</v>
      </c>
      <c r="AV159" s="852">
        <v>0.1</v>
      </c>
      <c r="AW159" s="852">
        <v>0</v>
      </c>
      <c r="AX159" s="852">
        <v>0.55000000000000004</v>
      </c>
      <c r="AY159" s="852">
        <v>0.48</v>
      </c>
      <c r="AZ159" s="303">
        <f>6.2*H159/1000</f>
        <v>5.3319999999999999</v>
      </c>
      <c r="BA159" s="321">
        <v>396</v>
      </c>
      <c r="BB159" s="321">
        <v>654</v>
      </c>
      <c r="BC159" s="303">
        <f t="shared" si="147"/>
        <v>-16.33556433</v>
      </c>
      <c r="BD159" s="277"/>
      <c r="BE159" s="277"/>
      <c r="BF159" s="277"/>
      <c r="BG159" s="277"/>
      <c r="BH159" s="277"/>
      <c r="BI159" s="277"/>
      <c r="BJ159" s="277"/>
      <c r="BK159" s="277"/>
      <c r="BL159" s="277"/>
      <c r="BM159" s="277"/>
      <c r="BN159" s="277"/>
      <c r="BO159" s="277"/>
      <c r="BP159" s="277"/>
      <c r="BQ159" s="277"/>
      <c r="BR159" s="277"/>
      <c r="BS159" s="277"/>
      <c r="BT159" s="277"/>
      <c r="BU159" s="277"/>
      <c r="BV159" s="277"/>
      <c r="BW159" s="277"/>
      <c r="BX159" s="277"/>
      <c r="BY159" s="277"/>
      <c r="BZ159" s="277"/>
      <c r="CA159" s="277"/>
      <c r="CB159" s="277"/>
      <c r="CC159" s="277"/>
      <c r="CD159" s="277"/>
      <c r="CE159" s="277"/>
      <c r="CF159" s="277"/>
      <c r="CG159" s="277"/>
      <c r="CH159" s="277"/>
      <c r="CI159" s="277"/>
      <c r="CJ159" s="277"/>
      <c r="CK159" s="277"/>
      <c r="CL159" s="277"/>
      <c r="CM159" s="277"/>
      <c r="CN159" s="277"/>
      <c r="CO159" s="277"/>
      <c r="CP159" s="277"/>
      <c r="CQ159" s="277"/>
      <c r="CR159" s="277"/>
      <c r="CS159" s="277"/>
      <c r="CT159" s="277"/>
      <c r="CU159" s="277"/>
      <c r="CV159" s="277"/>
      <c r="CW159" s="277"/>
      <c r="CX159" s="277"/>
      <c r="CY159" s="277"/>
      <c r="CZ159" s="277"/>
      <c r="DA159" s="277"/>
      <c r="DB159" s="277"/>
      <c r="DC159" s="277"/>
      <c r="DD159" s="277"/>
      <c r="DE159" s="277"/>
      <c r="DF159" s="277"/>
      <c r="DG159" s="277"/>
      <c r="DH159" s="277"/>
      <c r="DI159" s="277"/>
      <c r="DJ159" s="277"/>
      <c r="DK159" s="277"/>
      <c r="DL159" s="277"/>
      <c r="DM159" s="277"/>
      <c r="DN159" s="277"/>
      <c r="DO159" s="277"/>
      <c r="DP159" s="277"/>
      <c r="DQ159" s="277"/>
      <c r="DR159" s="277"/>
      <c r="DS159" s="277"/>
      <c r="DT159" s="277"/>
      <c r="DU159" s="277"/>
      <c r="DV159" s="277"/>
      <c r="DW159" s="277"/>
      <c r="DX159" s="277"/>
      <c r="DY159" s="277"/>
      <c r="DZ159" s="277"/>
      <c r="EA159" s="277"/>
      <c r="EB159" s="277"/>
      <c r="EC159" s="277"/>
      <c r="ED159" s="277"/>
      <c r="EE159" s="277"/>
      <c r="EF159" s="277"/>
      <c r="EG159" s="277"/>
      <c r="EH159" s="277"/>
      <c r="EI159" s="277"/>
      <c r="EJ159" s="277"/>
      <c r="EK159" s="277"/>
      <c r="EL159" s="277"/>
      <c r="EM159" s="277"/>
    </row>
    <row r="160" spans="1:143" s="3" customFormat="1" ht="12.5" customHeight="1">
      <c r="A160" s="897" t="str">
        <f t="shared" si="142"/>
        <v>Süßmolke 88 % TM 12% RP DLG 2014</v>
      </c>
      <c r="B160" s="298">
        <f>IF(D160=""," ",COUNTA($D$8:D160))</f>
        <v>147</v>
      </c>
      <c r="C160" s="327"/>
      <c r="D160" s="482" t="s">
        <v>340</v>
      </c>
      <c r="E160" s="617">
        <f t="shared" si="107"/>
        <v>12</v>
      </c>
      <c r="F160" s="319" t="s">
        <v>969</v>
      </c>
      <c r="G160" s="300"/>
      <c r="H160" s="275">
        <v>880</v>
      </c>
      <c r="I160" s="275">
        <f>I161/$H$161*880</f>
        <v>117.33040000000003</v>
      </c>
      <c r="J160" s="275">
        <f>I160*0.9</f>
        <v>105.59736000000002</v>
      </c>
      <c r="K160" s="275">
        <f>K161/$H$161*880</f>
        <v>0</v>
      </c>
      <c r="L160" s="303">
        <f t="shared" si="157"/>
        <v>12.626251616000003</v>
      </c>
      <c r="M160" s="322">
        <f t="shared" ref="M160:M165" si="163">IF(I160=""," ",$I160*0.021503+0.032497*$AE160+0.016309*$AF160+0.014701*$AJ160-0.021071*$K160)</f>
        <v>12.945131460799999</v>
      </c>
      <c r="N160" s="274">
        <f>N161/$H$161*880</f>
        <v>8.8000000000000007</v>
      </c>
      <c r="O160" s="274">
        <f t="shared" ref="O160:AD160" si="164">O161/$H$161*880</f>
        <v>8.5359999999999996</v>
      </c>
      <c r="P160" s="274">
        <f t="shared" si="164"/>
        <v>4.0849490400000006</v>
      </c>
      <c r="Q160" s="274">
        <f t="shared" si="164"/>
        <v>3.8841057122000011</v>
      </c>
      <c r="R160" s="274">
        <f t="shared" si="164"/>
        <v>7.168231040000002</v>
      </c>
      <c r="S160" s="274">
        <f t="shared" si="164"/>
        <v>6.3797256256000008</v>
      </c>
      <c r="T160" s="274">
        <f t="shared" si="164"/>
        <v>1.8423454399999999</v>
      </c>
      <c r="U160" s="274">
        <f t="shared" si="164"/>
        <v>1.7870750767999999</v>
      </c>
      <c r="V160" s="274">
        <f t="shared" si="164"/>
        <v>5.8608000000000002</v>
      </c>
      <c r="W160" s="274">
        <f t="shared" si="164"/>
        <v>5.8608000000000002</v>
      </c>
      <c r="X160" s="274">
        <f t="shared" si="164"/>
        <v>4.6886400000000004</v>
      </c>
      <c r="Y160" s="274">
        <f t="shared" si="164"/>
        <v>3.7509120000000005</v>
      </c>
      <c r="Z160" s="274">
        <f t="shared" si="164"/>
        <v>1.4607999999999999</v>
      </c>
      <c r="AA160" s="303">
        <f t="shared" si="164"/>
        <v>6.4504000000000001</v>
      </c>
      <c r="AB160" s="276">
        <f>AB161/$H$161*880</f>
        <v>19.0608</v>
      </c>
      <c r="AC160" s="274">
        <f t="shared" si="164"/>
        <v>1.76</v>
      </c>
      <c r="AD160" s="274">
        <f t="shared" si="164"/>
        <v>1.7247999999999999</v>
      </c>
      <c r="AE160" s="275">
        <f>AE161/$H$161*880</f>
        <v>12.32</v>
      </c>
      <c r="AF160" s="275"/>
      <c r="AG160" s="275">
        <f>AG161/$H$161*880</f>
        <v>642.4</v>
      </c>
      <c r="AH160" s="275">
        <f>AH161/$H$161*880</f>
        <v>68.64</v>
      </c>
      <c r="AI160" s="612">
        <f t="shared" si="158"/>
        <v>12.140480000000139</v>
      </c>
      <c r="AJ160" s="321">
        <f t="shared" si="159"/>
        <v>681.70959999999991</v>
      </c>
      <c r="AK160" s="311">
        <v>0.4</v>
      </c>
      <c r="AL160" s="311"/>
      <c r="AM160" s="311"/>
      <c r="AN160" s="321"/>
      <c r="AO160" s="321"/>
      <c r="AP160" s="321"/>
      <c r="AQ160" s="612">
        <f t="shared" si="148"/>
        <v>331.56126247999993</v>
      </c>
      <c r="AR160" s="847">
        <f t="shared" si="162"/>
        <v>482.35739200000006</v>
      </c>
      <c r="AS160" s="321">
        <f t="shared" si="160"/>
        <v>18.858311999999955</v>
      </c>
      <c r="AT160" s="321">
        <f t="shared" si="161"/>
        <v>681.70959999999991</v>
      </c>
      <c r="AU160" s="852">
        <v>0.93</v>
      </c>
      <c r="AV160" s="852">
        <v>0.8</v>
      </c>
      <c r="AW160" s="852">
        <v>0.5</v>
      </c>
      <c r="AX160" s="852">
        <v>0</v>
      </c>
      <c r="AY160" s="852">
        <v>0.97</v>
      </c>
      <c r="AZ160" s="303">
        <f>18.8*H160/1000</f>
        <v>16.544</v>
      </c>
      <c r="BA160" s="321">
        <f>K160</f>
        <v>0</v>
      </c>
      <c r="BB160" s="321">
        <f>0*H160/1000</f>
        <v>0</v>
      </c>
      <c r="BC160" s="303">
        <f t="shared" si="147"/>
        <v>6.842294766383997</v>
      </c>
      <c r="BD160" s="277"/>
      <c r="BE160" s="277"/>
      <c r="BF160" s="277"/>
      <c r="BG160" s="277"/>
      <c r="BH160" s="277"/>
      <c r="BI160" s="277"/>
      <c r="BJ160" s="277"/>
      <c r="BK160" s="277"/>
      <c r="BL160" s="277"/>
      <c r="BM160" s="277"/>
      <c r="BN160" s="277"/>
      <c r="BO160" s="277"/>
      <c r="BP160" s="277"/>
      <c r="BQ160" s="277"/>
      <c r="BR160" s="277"/>
      <c r="BS160" s="277"/>
      <c r="BT160" s="277"/>
      <c r="BU160" s="277"/>
      <c r="BV160" s="277"/>
      <c r="BW160" s="277"/>
      <c r="BX160" s="277"/>
      <c r="BY160" s="277"/>
      <c r="BZ160" s="277"/>
      <c r="CA160" s="277"/>
      <c r="CB160" s="277"/>
      <c r="CC160" s="277"/>
      <c r="CD160" s="277"/>
      <c r="CE160" s="277"/>
      <c r="CF160" s="277"/>
      <c r="CG160" s="277"/>
      <c r="CH160" s="277"/>
      <c r="CI160" s="277"/>
      <c r="CJ160" s="277"/>
      <c r="CK160" s="277"/>
      <c r="CL160" s="277"/>
      <c r="CM160" s="277"/>
      <c r="CN160" s="277"/>
      <c r="CO160" s="277"/>
      <c r="CP160" s="277"/>
      <c r="CQ160" s="277"/>
      <c r="CR160" s="277"/>
      <c r="CS160" s="277"/>
      <c r="CT160" s="277"/>
      <c r="CU160" s="277"/>
      <c r="CV160" s="277"/>
      <c r="CW160" s="277"/>
      <c r="CX160" s="277"/>
      <c r="CY160" s="277"/>
      <c r="CZ160" s="277"/>
      <c r="DA160" s="277"/>
      <c r="DB160" s="277"/>
      <c r="DC160" s="277"/>
      <c r="DD160" s="277"/>
      <c r="DE160" s="277"/>
      <c r="DF160" s="277"/>
      <c r="DG160" s="277"/>
      <c r="DH160" s="277"/>
      <c r="DI160" s="277"/>
      <c r="DJ160" s="277"/>
      <c r="DK160" s="277"/>
      <c r="DL160" s="277"/>
      <c r="DM160" s="277"/>
      <c r="DN160" s="277"/>
      <c r="DO160" s="277"/>
      <c r="DP160" s="277"/>
      <c r="DQ160" s="277"/>
      <c r="DR160" s="277"/>
      <c r="DS160" s="277"/>
      <c r="DT160" s="277"/>
      <c r="DU160" s="277"/>
      <c r="DV160" s="277"/>
      <c r="DW160" s="277"/>
      <c r="DX160" s="277"/>
      <c r="DY160" s="277"/>
      <c r="DZ160" s="277"/>
      <c r="EA160" s="277"/>
      <c r="EB160" s="277"/>
      <c r="EC160" s="277"/>
      <c r="ED160" s="277"/>
      <c r="EE160" s="277"/>
      <c r="EF160" s="277"/>
      <c r="EG160" s="277"/>
      <c r="EH160" s="277"/>
      <c r="EI160" s="277"/>
      <c r="EJ160" s="277"/>
      <c r="EK160" s="277"/>
      <c r="EL160" s="277"/>
      <c r="EM160" s="277"/>
    </row>
    <row r="161" spans="1:145" s="4" customFormat="1" ht="12.5" customHeight="1">
      <c r="A161" s="897" t="str">
        <f t="shared" si="142"/>
        <v>Süßmolke, frisch 1% RP DLG 2014</v>
      </c>
      <c r="B161" s="298">
        <f>IF(D161=""," ",COUNTA($D$8:D161))</f>
        <v>148</v>
      </c>
      <c r="C161" s="327"/>
      <c r="D161" s="482" t="s">
        <v>254</v>
      </c>
      <c r="E161" s="617">
        <f t="shared" si="107"/>
        <v>1</v>
      </c>
      <c r="F161" s="319" t="s">
        <v>969</v>
      </c>
      <c r="G161" s="320"/>
      <c r="H161" s="92">
        <v>60</v>
      </c>
      <c r="I161" s="321">
        <f>133.33*H161/1000</f>
        <v>7.9998000000000014</v>
      </c>
      <c r="J161" s="321">
        <f>I161*0.8</f>
        <v>6.3998400000000011</v>
      </c>
      <c r="K161" s="321">
        <v>0</v>
      </c>
      <c r="L161" s="303">
        <f t="shared" si="157"/>
        <v>0.86088079199999989</v>
      </c>
      <c r="M161" s="322">
        <f t="shared" si="163"/>
        <v>0.8826225996</v>
      </c>
      <c r="N161" s="311">
        <f>10*H161/1000</f>
        <v>0.6</v>
      </c>
      <c r="O161" s="301">
        <f>N161*0.97</f>
        <v>0.58199999999999996</v>
      </c>
      <c r="P161" s="274">
        <f>IF(N161=" "," ",(I161/H161*880*0.0401-0.62)/880*H161)</f>
        <v>0.27851925272727279</v>
      </c>
      <c r="Q161" s="302">
        <f>IF(N161=" "," ",P161*(0.98*2+0.93*2.8)/4.8)</f>
        <v>0.2648253894681819</v>
      </c>
      <c r="R161" s="274">
        <f>IF(N161=" "," ",(I161/H161*880*0.0576+0.41)/880*H161)</f>
        <v>0.48874302545454557</v>
      </c>
      <c r="S161" s="301">
        <f>R161*0.89</f>
        <v>0.43498129265454555</v>
      </c>
      <c r="T161" s="311">
        <f>IF(N161=" "," ",(I161/H161*880*0.0186-0.34)/880*H161)</f>
        <v>0.12561446181818181</v>
      </c>
      <c r="U161" s="301">
        <f>T161*0.97</f>
        <v>0.12184602796363635</v>
      </c>
      <c r="V161" s="311">
        <f>6.66*$H$161/1000</f>
        <v>0.39960000000000001</v>
      </c>
      <c r="W161" s="311">
        <f>6.66*$H$161/1000</f>
        <v>0.39960000000000001</v>
      </c>
      <c r="X161" s="302">
        <f>W161*0.8</f>
        <v>0.31968000000000002</v>
      </c>
      <c r="Y161" s="301">
        <f>X161*0.8</f>
        <v>0.25574400000000003</v>
      </c>
      <c r="Z161" s="311">
        <f>1.66*$H$161/1000</f>
        <v>9.9599999999999994E-2</v>
      </c>
      <c r="AA161" s="322">
        <f>7.33*$H$161/1000</f>
        <v>0.43980000000000002</v>
      </c>
      <c r="AB161" s="323">
        <f>21.66*$H$161/1000</f>
        <v>1.2995999999999999</v>
      </c>
      <c r="AC161" s="311">
        <f>IF(H161="","",2/1000*$H161)</f>
        <v>0.12</v>
      </c>
      <c r="AD161" s="311">
        <f>AC161*0.98</f>
        <v>0.1176</v>
      </c>
      <c r="AE161" s="321">
        <f>14*$H161/1000</f>
        <v>0.84</v>
      </c>
      <c r="AF161" s="321"/>
      <c r="AG161" s="321">
        <f>730*$H161/1000</f>
        <v>43.8</v>
      </c>
      <c r="AH161" s="321">
        <f>78*$H161/1000</f>
        <v>4.68</v>
      </c>
      <c r="AI161" s="612">
        <f t="shared" si="158"/>
        <v>0.82775999999999783</v>
      </c>
      <c r="AJ161" s="321">
        <f t="shared" si="159"/>
        <v>46.480199999999996</v>
      </c>
      <c r="AK161" s="311">
        <f>0.4*H161/H160</f>
        <v>2.7272727272727271E-2</v>
      </c>
      <c r="AL161" s="311"/>
      <c r="AM161" s="311"/>
      <c r="AN161" s="321"/>
      <c r="AO161" s="321"/>
      <c r="AP161" s="321"/>
      <c r="AQ161" s="612">
        <f t="shared" si="148"/>
        <v>22.606449714545448</v>
      </c>
      <c r="AR161" s="847">
        <f t="shared" si="162"/>
        <v>32.888004000000002</v>
      </c>
      <c r="AS161" s="321">
        <f t="shared" si="160"/>
        <v>1.2857939999999957</v>
      </c>
      <c r="AT161" s="321">
        <f t="shared" si="161"/>
        <v>46.480199999999996</v>
      </c>
      <c r="AU161" s="852">
        <v>0.93</v>
      </c>
      <c r="AV161" s="852">
        <v>0.8</v>
      </c>
      <c r="AW161" s="852">
        <v>0.5</v>
      </c>
      <c r="AX161" s="852">
        <v>0</v>
      </c>
      <c r="AY161" s="852">
        <v>0.97</v>
      </c>
      <c r="AZ161" s="303">
        <f>18.8*H161/1000</f>
        <v>1.1279999999999999</v>
      </c>
      <c r="BA161" s="321">
        <f>K161</f>
        <v>0</v>
      </c>
      <c r="BB161" s="321">
        <f>0*H161/1000</f>
        <v>0</v>
      </c>
      <c r="BC161" s="303">
        <f t="shared" si="147"/>
        <v>0.46652009770799996</v>
      </c>
      <c r="BD161" s="277"/>
      <c r="BE161" s="277"/>
      <c r="BF161" s="277"/>
      <c r="BG161" s="277"/>
      <c r="BH161" s="277"/>
      <c r="BI161" s="277"/>
      <c r="BJ161" s="277"/>
      <c r="BK161" s="277"/>
      <c r="BL161" s="277"/>
      <c r="BM161" s="277"/>
      <c r="BN161" s="277"/>
      <c r="BO161" s="277"/>
      <c r="BP161" s="277"/>
      <c r="BQ161" s="277"/>
      <c r="BR161" s="277"/>
      <c r="BS161" s="277"/>
      <c r="BT161" s="277"/>
      <c r="BU161" s="277"/>
      <c r="BV161" s="277"/>
      <c r="BW161" s="277"/>
      <c r="BX161" s="277"/>
      <c r="BY161" s="277"/>
      <c r="BZ161" s="277"/>
      <c r="CA161" s="277"/>
      <c r="CB161" s="277"/>
      <c r="CC161" s="277"/>
      <c r="CD161" s="277"/>
      <c r="CE161" s="277"/>
      <c r="CF161" s="277"/>
      <c r="CG161" s="277"/>
      <c r="CH161" s="277"/>
      <c r="CI161" s="277"/>
      <c r="CJ161" s="277"/>
      <c r="CK161" s="277"/>
      <c r="CL161" s="277"/>
      <c r="CM161" s="277"/>
      <c r="CN161" s="277"/>
      <c r="CO161" s="277"/>
      <c r="CP161" s="277"/>
      <c r="CQ161" s="277"/>
      <c r="CR161" s="277"/>
      <c r="CS161" s="277"/>
      <c r="CT161" s="277"/>
      <c r="CU161" s="277"/>
      <c r="CV161" s="277"/>
      <c r="CW161" s="277"/>
      <c r="CX161" s="277"/>
      <c r="CY161" s="277"/>
      <c r="CZ161" s="277"/>
      <c r="DA161" s="277"/>
      <c r="DB161" s="277"/>
      <c r="DC161" s="277"/>
      <c r="DD161" s="277"/>
      <c r="DE161" s="277"/>
      <c r="DF161" s="277"/>
      <c r="DG161" s="277"/>
      <c r="DH161" s="277"/>
      <c r="DI161" s="277"/>
      <c r="DJ161" s="277"/>
      <c r="DK161" s="277"/>
      <c r="DL161" s="277"/>
      <c r="DM161" s="277"/>
      <c r="DN161" s="277"/>
      <c r="DO161" s="277"/>
      <c r="DP161" s="277"/>
      <c r="DQ161" s="277"/>
      <c r="DR161" s="277"/>
      <c r="DS161" s="277"/>
      <c r="DT161" s="277"/>
      <c r="DU161" s="277"/>
      <c r="DV161" s="277"/>
      <c r="DW161" s="277"/>
      <c r="DX161" s="277"/>
      <c r="DY161" s="277"/>
      <c r="DZ161" s="277"/>
      <c r="EA161" s="277"/>
      <c r="EB161" s="277"/>
      <c r="EC161" s="277"/>
      <c r="ED161" s="277"/>
      <c r="EE161" s="277"/>
      <c r="EF161" s="277"/>
      <c r="EG161" s="277"/>
      <c r="EH161" s="277"/>
      <c r="EI161" s="277"/>
      <c r="EJ161" s="277"/>
      <c r="EK161" s="277"/>
      <c r="EL161" s="277"/>
      <c r="EM161" s="277"/>
    </row>
    <row r="162" spans="1:145" s="4" customFormat="1" ht="12.5" customHeight="1">
      <c r="A162" s="897" t="str">
        <f t="shared" si="142"/>
        <v>Sauermolke, milchsauer 88 % TM 8% RP DLG 2014</v>
      </c>
      <c r="B162" s="298">
        <f>IF(D162=""," ",COUNTA($D$8:D162))</f>
        <v>149</v>
      </c>
      <c r="C162" s="327"/>
      <c r="D162" s="482" t="s">
        <v>633</v>
      </c>
      <c r="E162" s="617">
        <f t="shared" si="107"/>
        <v>8</v>
      </c>
      <c r="F162" s="319" t="s">
        <v>969</v>
      </c>
      <c r="G162" s="320"/>
      <c r="H162" s="321">
        <v>880</v>
      </c>
      <c r="I162" s="321">
        <f>I163/$H163*880</f>
        <v>82.5</v>
      </c>
      <c r="J162" s="321">
        <f>I162*0.7</f>
        <v>57.749999999999993</v>
      </c>
      <c r="K162" s="321">
        <f>K163/$H163*880</f>
        <v>0</v>
      </c>
      <c r="L162" s="303">
        <f t="shared" si="157"/>
        <v>11.801490800000002</v>
      </c>
      <c r="M162" s="322">
        <f t="shared" si="163"/>
        <v>12.325555880000001</v>
      </c>
      <c r="N162" s="311">
        <f>N163/$H163*880</f>
        <v>9.68</v>
      </c>
      <c r="O162" s="301">
        <f>N162*0.83</f>
        <v>8.0343999999999998</v>
      </c>
      <c r="P162" s="274">
        <f>IF(N162=" "," ",(I162/H162*880*0.0401-0.62)/880*H162)</f>
        <v>2.6882499999999996</v>
      </c>
      <c r="Q162" s="302">
        <f>IF(N162=" "," ",P162*(0.1*0.74+0.2*0.66)/0.3)</f>
        <v>1.8459316666666667</v>
      </c>
      <c r="R162" s="274">
        <f>IF(N162=" "," ",(I162/H162*880*0.0576+0.41)/880*H162)</f>
        <v>5.1619999999999999</v>
      </c>
      <c r="S162" s="301">
        <f>R162*0.7</f>
        <v>3.6133999999999995</v>
      </c>
      <c r="T162" s="311">
        <f>IF(N162=" "," ",(I162/H162*880*0.0186-0.34)/880*H162)</f>
        <v>1.1944999999999999</v>
      </c>
      <c r="U162" s="301">
        <f>T162*0.79</f>
        <v>0.94365499999999991</v>
      </c>
      <c r="V162" s="311">
        <f>V163/$H163*880</f>
        <v>16.130399999999998</v>
      </c>
      <c r="W162" s="311">
        <f>W163/$H163*880</f>
        <v>11</v>
      </c>
      <c r="X162" s="302">
        <f>W162*0.8</f>
        <v>8.8000000000000007</v>
      </c>
      <c r="Y162" s="302">
        <f>X162</f>
        <v>8.8000000000000007</v>
      </c>
      <c r="Z162" s="311">
        <f>Z163/$H163*880</f>
        <v>1.4608000000000001</v>
      </c>
      <c r="AA162" s="322">
        <f>AA163/$H163*880</f>
        <v>6.6</v>
      </c>
      <c r="AB162" s="323">
        <f>AB163/$H163*880</f>
        <v>23.460799999999999</v>
      </c>
      <c r="AC162" s="311">
        <f>IF(H162="","",1.9/1000*$H162)</f>
        <v>1.6719999999999999</v>
      </c>
      <c r="AD162" s="311">
        <f>AC162*0.74</f>
        <v>1.2372799999999999</v>
      </c>
      <c r="AE162" s="321">
        <f>16*$H162/1000</f>
        <v>14.08</v>
      </c>
      <c r="AF162" s="321"/>
      <c r="AG162" s="321">
        <f>610*$H162/1000</f>
        <v>536.79999999999995</v>
      </c>
      <c r="AH162" s="321">
        <f>110*$H162/1000</f>
        <v>96.8</v>
      </c>
      <c r="AI162" s="612">
        <f t="shared" si="158"/>
        <v>118.95400000000018</v>
      </c>
      <c r="AJ162" s="321">
        <f t="shared" si="159"/>
        <v>686.62</v>
      </c>
      <c r="AK162" s="311">
        <v>0.4</v>
      </c>
      <c r="AL162" s="311"/>
      <c r="AM162" s="311"/>
      <c r="AN162" s="321"/>
      <c r="AO162" s="321"/>
      <c r="AP162" s="321"/>
      <c r="AQ162" s="612">
        <f t="shared" si="148"/>
        <v>680.96794999999997</v>
      </c>
      <c r="AR162" s="847">
        <f t="shared" si="162"/>
        <v>602.11113599999999</v>
      </c>
      <c r="AS162" s="321">
        <f t="shared" si="160"/>
        <v>129.22140000000002</v>
      </c>
      <c r="AT162" s="321">
        <f t="shared" si="161"/>
        <v>686.62</v>
      </c>
      <c r="AU162" s="852">
        <v>0.92</v>
      </c>
      <c r="AV162" s="852">
        <v>0.7</v>
      </c>
      <c r="AW162" s="852">
        <v>0.5</v>
      </c>
      <c r="AX162" s="852">
        <v>0</v>
      </c>
      <c r="AY162" s="852">
        <v>0.97</v>
      </c>
      <c r="AZ162" s="303">
        <f>18.8*H162/1000</f>
        <v>16.544</v>
      </c>
      <c r="BA162" s="321">
        <f>K162</f>
        <v>0</v>
      </c>
      <c r="BB162" s="321">
        <f>0*H162/1000</f>
        <v>0</v>
      </c>
      <c r="BC162" s="303">
        <f t="shared" si="147"/>
        <v>7.4620557924000011</v>
      </c>
      <c r="BD162" s="277"/>
      <c r="BE162" s="277"/>
      <c r="BF162" s="277"/>
      <c r="BG162" s="277"/>
      <c r="BH162" s="277"/>
      <c r="BI162" s="277"/>
      <c r="BJ162" s="277"/>
      <c r="BK162" s="277"/>
      <c r="BL162" s="277"/>
      <c r="BM162" s="277"/>
      <c r="BN162" s="277"/>
      <c r="BO162" s="277"/>
      <c r="BP162" s="277"/>
      <c r="BQ162" s="277"/>
      <c r="BR162" s="277"/>
      <c r="BS162" s="277"/>
      <c r="BT162" s="277"/>
      <c r="BU162" s="277"/>
      <c r="BV162" s="277"/>
      <c r="BW162" s="277"/>
      <c r="BX162" s="277"/>
      <c r="BY162" s="277"/>
      <c r="BZ162" s="277"/>
      <c r="CA162" s="277"/>
      <c r="CB162" s="277"/>
      <c r="CC162" s="277"/>
      <c r="CD162" s="277"/>
      <c r="CE162" s="277"/>
      <c r="CF162" s="277"/>
      <c r="CG162" s="277"/>
      <c r="CH162" s="277"/>
      <c r="CI162" s="277"/>
      <c r="CJ162" s="277"/>
      <c r="CK162" s="277"/>
      <c r="CL162" s="277"/>
      <c r="CM162" s="277"/>
      <c r="CN162" s="277"/>
      <c r="CO162" s="277"/>
      <c r="CP162" s="277"/>
      <c r="CQ162" s="277"/>
      <c r="CR162" s="277"/>
      <c r="CS162" s="277"/>
      <c r="CT162" s="277"/>
      <c r="CU162" s="277"/>
      <c r="CV162" s="277"/>
      <c r="CW162" s="277"/>
      <c r="CX162" s="277"/>
      <c r="CY162" s="277"/>
      <c r="CZ162" s="277"/>
      <c r="DA162" s="277"/>
      <c r="DB162" s="277"/>
      <c r="DC162" s="277"/>
      <c r="DD162" s="277"/>
      <c r="DE162" s="277"/>
      <c r="DF162" s="277"/>
      <c r="DG162" s="277"/>
      <c r="DH162" s="277"/>
      <c r="DI162" s="277"/>
      <c r="DJ162" s="277"/>
      <c r="DK162" s="277"/>
      <c r="DL162" s="277"/>
      <c r="DM162" s="277"/>
      <c r="DN162" s="277"/>
      <c r="DO162" s="277"/>
      <c r="DP162" s="277"/>
      <c r="DQ162" s="277"/>
      <c r="DR162" s="277"/>
      <c r="DS162" s="277"/>
      <c r="DT162" s="277"/>
      <c r="DU162" s="277"/>
      <c r="DV162" s="277"/>
      <c r="DW162" s="277"/>
      <c r="DX162" s="277"/>
      <c r="DY162" s="277"/>
      <c r="DZ162" s="277"/>
      <c r="EA162" s="277"/>
      <c r="EB162" s="277"/>
      <c r="EC162" s="277"/>
      <c r="ED162" s="277"/>
      <c r="EE162" s="277"/>
      <c r="EF162" s="277"/>
      <c r="EG162" s="277"/>
      <c r="EH162" s="277"/>
      <c r="EI162" s="277"/>
      <c r="EJ162" s="277"/>
      <c r="EK162" s="277"/>
      <c r="EL162" s="277"/>
      <c r="EM162" s="277"/>
    </row>
    <row r="163" spans="1:145" s="4" customFormat="1" ht="12.5" customHeight="1">
      <c r="A163" s="897" t="str">
        <f t="shared" si="142"/>
        <v>Sauermolke, milchsauer, frisch 1% RP DLG 2014</v>
      </c>
      <c r="B163" s="298">
        <f>IF(D163=""," ",COUNTA($D$8:D163))</f>
        <v>150</v>
      </c>
      <c r="C163" s="327"/>
      <c r="D163" s="482" t="s">
        <v>632</v>
      </c>
      <c r="E163" s="617">
        <f t="shared" si="107"/>
        <v>1</v>
      </c>
      <c r="F163" s="319" t="s">
        <v>969</v>
      </c>
      <c r="G163" s="320"/>
      <c r="H163" s="92">
        <v>64</v>
      </c>
      <c r="I163" s="321">
        <v>6</v>
      </c>
      <c r="J163" s="321">
        <f>I163*0.7</f>
        <v>4.1999999999999993</v>
      </c>
      <c r="K163" s="321">
        <v>0</v>
      </c>
      <c r="L163" s="303">
        <f t="shared" si="157"/>
        <v>0.85829024000000009</v>
      </c>
      <c r="M163" s="322">
        <f t="shared" si="163"/>
        <v>0.89640406400000006</v>
      </c>
      <c r="N163" s="311">
        <f>11*$H$163/1000</f>
        <v>0.70399999999999996</v>
      </c>
      <c r="O163" s="301">
        <f>N163*0.83</f>
        <v>0.58431999999999995</v>
      </c>
      <c r="P163" s="274">
        <f>IF(N163=" "," ",(I163/H163*880*0.0401-0.62)/880*H163)</f>
        <v>0.19550909090909088</v>
      </c>
      <c r="Q163" s="302">
        <f>IF(N163=" "," ",P163*(0.1*0.74+0.2*0.66)/0.3)</f>
        <v>0.13424957575757576</v>
      </c>
      <c r="R163" s="274">
        <f>IF(N163=" "," ",(I163/H163*880*0.0576+0.41)/880*H163)</f>
        <v>0.37541818181818182</v>
      </c>
      <c r="S163" s="301">
        <f>R163*0.7</f>
        <v>0.26279272727272723</v>
      </c>
      <c r="T163" s="311">
        <f>IF(N163=" "," ",(I163/H163*880*0.0186-0.34)/880*H163)</f>
        <v>8.6872727272727268E-2</v>
      </c>
      <c r="U163" s="301">
        <f>T163*0.79</f>
        <v>6.8629454545454549E-2</v>
      </c>
      <c r="V163" s="311">
        <f>18.33*$H$163/1000</f>
        <v>1.1731199999999999</v>
      </c>
      <c r="W163" s="311">
        <v>0.8</v>
      </c>
      <c r="X163" s="302">
        <f>W163*0.8</f>
        <v>0.64000000000000012</v>
      </c>
      <c r="Y163" s="302">
        <f>X163</f>
        <v>0.64000000000000012</v>
      </c>
      <c r="Z163" s="311">
        <f>1.66*$H$163/1000</f>
        <v>0.10624</v>
      </c>
      <c r="AA163" s="322">
        <f>7.5*$H$163/1000</f>
        <v>0.48</v>
      </c>
      <c r="AB163" s="323">
        <f>26.66*$H$163/1000</f>
        <v>1.70624</v>
      </c>
      <c r="AC163" s="311">
        <f>IF(H163="","",1.9/1000*$H163)</f>
        <v>0.1216</v>
      </c>
      <c r="AD163" s="311">
        <f>AC163*0.74</f>
        <v>8.9983999999999995E-2</v>
      </c>
      <c r="AE163" s="321">
        <f>16*$H163/1000</f>
        <v>1.024</v>
      </c>
      <c r="AF163" s="321"/>
      <c r="AG163" s="321">
        <f>610*$H163/1000</f>
        <v>39.04</v>
      </c>
      <c r="AH163" s="321">
        <f>110*$H163/1000</f>
        <v>7.04</v>
      </c>
      <c r="AI163" s="612">
        <f t="shared" si="158"/>
        <v>8.65120000000001</v>
      </c>
      <c r="AJ163" s="321">
        <f t="shared" si="159"/>
        <v>49.936</v>
      </c>
      <c r="AK163" s="311">
        <f>0.4*H163/H162</f>
        <v>2.9090909090909091E-2</v>
      </c>
      <c r="AL163" s="311"/>
      <c r="AM163" s="311"/>
      <c r="AN163" s="321"/>
      <c r="AO163" s="321"/>
      <c r="AP163" s="321"/>
      <c r="AQ163" s="612">
        <f t="shared" si="148"/>
        <v>49.524941818181802</v>
      </c>
      <c r="AR163" s="847">
        <f t="shared" si="162"/>
        <v>43.789900799999998</v>
      </c>
      <c r="AS163" s="321">
        <f t="shared" si="160"/>
        <v>9.3979199999999992</v>
      </c>
      <c r="AT163" s="321">
        <f t="shared" si="161"/>
        <v>49.936</v>
      </c>
      <c r="AU163" s="852">
        <v>0.92</v>
      </c>
      <c r="AV163" s="852">
        <v>0.7</v>
      </c>
      <c r="AW163" s="852">
        <v>0.5</v>
      </c>
      <c r="AX163" s="852">
        <v>0</v>
      </c>
      <c r="AY163" s="852">
        <v>0.97</v>
      </c>
      <c r="AZ163" s="303">
        <f>18.8*H163/1000</f>
        <v>1.2032</v>
      </c>
      <c r="BA163" s="321">
        <f>K163</f>
        <v>0</v>
      </c>
      <c r="BB163" s="321">
        <f>0*H163/1000</f>
        <v>0</v>
      </c>
      <c r="BC163" s="303">
        <f t="shared" si="147"/>
        <v>0.54269496672000006</v>
      </c>
      <c r="BD163" s="277"/>
      <c r="BE163" s="277"/>
      <c r="BF163" s="277"/>
      <c r="BG163" s="277"/>
      <c r="BH163" s="277"/>
      <c r="BI163" s="277"/>
      <c r="BJ163" s="277"/>
      <c r="BK163" s="277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7"/>
      <c r="BX163" s="277"/>
      <c r="BY163" s="277"/>
      <c r="BZ163" s="277"/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277"/>
      <c r="CW163" s="277"/>
      <c r="CX163" s="277"/>
      <c r="CY163" s="277"/>
      <c r="CZ163" s="277"/>
      <c r="DA163" s="277"/>
      <c r="DB163" s="277"/>
      <c r="DC163" s="277"/>
      <c r="DD163" s="277"/>
      <c r="DE163" s="277"/>
      <c r="DF163" s="277"/>
      <c r="DG163" s="277"/>
      <c r="DH163" s="277"/>
      <c r="DI163" s="277"/>
      <c r="DJ163" s="277"/>
      <c r="DK163" s="277"/>
      <c r="DL163" s="277"/>
      <c r="DM163" s="277"/>
      <c r="DN163" s="277"/>
      <c r="DO163" s="277"/>
      <c r="DP163" s="277"/>
      <c r="DQ163" s="277"/>
      <c r="DR163" s="277"/>
      <c r="DS163" s="277"/>
      <c r="DT163" s="277"/>
      <c r="DU163" s="277"/>
      <c r="DV163" s="277"/>
      <c r="DW163" s="277"/>
      <c r="DX163" s="277"/>
      <c r="DY163" s="277"/>
      <c r="DZ163" s="277"/>
      <c r="EA163" s="277"/>
      <c r="EB163" s="277"/>
      <c r="EC163" s="277"/>
      <c r="ED163" s="277"/>
      <c r="EE163" s="277"/>
      <c r="EF163" s="277"/>
      <c r="EG163" s="277"/>
      <c r="EH163" s="277"/>
      <c r="EI163" s="277"/>
      <c r="EJ163" s="277"/>
      <c r="EK163" s="277"/>
      <c r="EL163" s="277"/>
      <c r="EM163" s="277"/>
    </row>
    <row r="164" spans="1:145" s="3" customFormat="1" ht="12.5" customHeight="1">
      <c r="A164" s="897" t="str">
        <f>IF(E164=" ",D164&amp;" "&amp;F164,D164&amp;" "&amp;E164&amp;"% RP "&amp;F164)</f>
        <v>Trockenschnitzel 8% RP DLG 2014</v>
      </c>
      <c r="B164" s="298">
        <f>IF(D164=""," ",COUNTA($D$8:D164))</f>
        <v>151</v>
      </c>
      <c r="C164" s="327"/>
      <c r="D164" s="479" t="s">
        <v>674</v>
      </c>
      <c r="E164" s="617">
        <f>IF(I164=0," ",ROUND(I164/10,0))</f>
        <v>8</v>
      </c>
      <c r="F164" s="299" t="s">
        <v>969</v>
      </c>
      <c r="G164" s="300"/>
      <c r="H164" s="275">
        <v>900</v>
      </c>
      <c r="I164" s="275">
        <v>75</v>
      </c>
      <c r="J164" s="275">
        <f>I164*0.4</f>
        <v>30</v>
      </c>
      <c r="K164" s="275">
        <v>171</v>
      </c>
      <c r="L164" s="303">
        <f t="shared" si="157"/>
        <v>10.142751000000001</v>
      </c>
      <c r="M164" s="322">
        <f t="shared" si="163"/>
        <v>6.8580390000000007</v>
      </c>
      <c r="N164" s="274">
        <f>IF(I164=0," ",(I164/H164*880*0.0659-1)/880*H164)</f>
        <v>3.9197727272727265</v>
      </c>
      <c r="O164" s="301">
        <f>N164*0.55</f>
        <v>2.1558749999999995</v>
      </c>
      <c r="P164" s="274">
        <f>IF(N164=" "," ",(I164/H164*880*0.026+0.2)/880*H164)</f>
        <v>2.1545454545454543</v>
      </c>
      <c r="Q164" s="302">
        <f>IF(N164=" "," ",P164*(1.3*0.59+0.9*0.46)/2.2)</f>
        <v>1.1565991735537187</v>
      </c>
      <c r="R164" s="274">
        <f>IF(N164=" "," ",(I164/H164*880*0.0356+0.81)/880*H164)</f>
        <v>3.4984090909090906</v>
      </c>
      <c r="S164" s="301">
        <f>R164*0.28</f>
        <v>0.97955454545454546</v>
      </c>
      <c r="T164" s="274">
        <v>0.7</v>
      </c>
      <c r="U164" s="301">
        <f>T164*0.5</f>
        <v>0.35</v>
      </c>
      <c r="V164" s="274">
        <v>12.6</v>
      </c>
      <c r="W164" s="274">
        <v>0.9</v>
      </c>
      <c r="X164" s="301">
        <f>W164*0.1</f>
        <v>9.0000000000000011E-2</v>
      </c>
      <c r="Y164" s="301">
        <f>W164*0.65</f>
        <v>0.58500000000000008</v>
      </c>
      <c r="Z164" s="274">
        <v>1.8</v>
      </c>
      <c r="AA164" s="303">
        <v>0.5</v>
      </c>
      <c r="AB164" s="276">
        <v>6.5</v>
      </c>
      <c r="AC164" s="311">
        <f>IF($I164=""," ",($I164/H164*880*0.0158+0.06)/880*H164)</f>
        <v>1.2463636363636366</v>
      </c>
      <c r="AD164" s="311">
        <f>AC164*0.59</f>
        <v>0.73535454545454548</v>
      </c>
      <c r="AE164" s="321">
        <v>9</v>
      </c>
      <c r="AF164" s="321"/>
      <c r="AG164" s="321">
        <v>81</v>
      </c>
      <c r="AH164" s="321">
        <v>63</v>
      </c>
      <c r="AI164" s="612">
        <f t="shared" si="158"/>
        <v>557.79000000000008</v>
      </c>
      <c r="AJ164" s="321">
        <f t="shared" si="159"/>
        <v>582</v>
      </c>
      <c r="AK164" s="311">
        <v>3.3</v>
      </c>
      <c r="AL164" s="311"/>
      <c r="AM164" s="311"/>
      <c r="AN164" s="321"/>
      <c r="AO164" s="321"/>
      <c r="AP164" s="321"/>
      <c r="AQ164" s="612">
        <f t="shared" si="148"/>
        <v>854.01090909090908</v>
      </c>
      <c r="AR164" s="847">
        <f t="shared" si="162"/>
        <v>528.74400000000003</v>
      </c>
      <c r="AS164" s="321">
        <f t="shared" si="160"/>
        <v>581.31000000000006</v>
      </c>
      <c r="AT164" s="321">
        <f t="shared" si="161"/>
        <v>582</v>
      </c>
      <c r="AU164" s="852">
        <v>0.8</v>
      </c>
      <c r="AV164" s="852">
        <v>0.4</v>
      </c>
      <c r="AW164" s="852">
        <v>0.09</v>
      </c>
      <c r="AX164" s="852">
        <v>0.81</v>
      </c>
      <c r="AY164" s="852">
        <v>0.9</v>
      </c>
      <c r="AZ164" s="303">
        <f>1.4*H164/1000</f>
        <v>1.26</v>
      </c>
      <c r="BA164" s="321">
        <v>180</v>
      </c>
      <c r="BB164" s="321">
        <v>342</v>
      </c>
      <c r="BC164" s="303">
        <f t="shared" si="147"/>
        <v>-3.6096315300000001</v>
      </c>
      <c r="BD164" s="277"/>
      <c r="BE164" s="277"/>
      <c r="BF164" s="277"/>
      <c r="BG164" s="277"/>
      <c r="BH164" s="277"/>
      <c r="BI164" s="277"/>
      <c r="BJ164" s="277"/>
      <c r="BK164" s="277"/>
      <c r="BL164" s="277"/>
      <c r="BM164" s="277"/>
      <c r="BN164" s="277"/>
      <c r="BO164" s="277"/>
      <c r="BP164" s="277"/>
      <c r="BQ164" s="277"/>
      <c r="BR164" s="277"/>
      <c r="BS164" s="277"/>
      <c r="BT164" s="277"/>
      <c r="BU164" s="277"/>
      <c r="BV164" s="277"/>
      <c r="BW164" s="277"/>
      <c r="BX164" s="277"/>
      <c r="BY164" s="277"/>
      <c r="BZ164" s="277"/>
      <c r="CA164" s="277"/>
      <c r="CB164" s="277"/>
      <c r="CC164" s="277"/>
      <c r="CD164" s="277"/>
      <c r="CE164" s="277"/>
      <c r="CF164" s="277"/>
      <c r="CG164" s="277"/>
      <c r="CH164" s="277"/>
      <c r="CI164" s="277"/>
      <c r="CJ164" s="277"/>
      <c r="CK164" s="277"/>
      <c r="CL164" s="277"/>
      <c r="CM164" s="277"/>
      <c r="CN164" s="277"/>
      <c r="CO164" s="277"/>
      <c r="CP164" s="277"/>
      <c r="CQ164" s="277"/>
      <c r="CR164" s="277"/>
      <c r="CS164" s="277"/>
      <c r="CT164" s="277"/>
      <c r="CU164" s="277"/>
      <c r="CV164" s="277"/>
      <c r="CW164" s="277"/>
      <c r="CX164" s="277"/>
      <c r="CY164" s="277"/>
      <c r="CZ164" s="277"/>
      <c r="DA164" s="277"/>
      <c r="DB164" s="277"/>
      <c r="DC164" s="277"/>
      <c r="DD164" s="277"/>
      <c r="DE164" s="277"/>
      <c r="DF164" s="277"/>
      <c r="DG164" s="277"/>
      <c r="DH164" s="277"/>
      <c r="DI164" s="277"/>
      <c r="DJ164" s="277"/>
      <c r="DK164" s="277"/>
      <c r="DL164" s="277"/>
      <c r="DM164" s="277"/>
      <c r="DN164" s="277"/>
      <c r="DO164" s="277"/>
      <c r="DP164" s="277"/>
      <c r="DQ164" s="277"/>
      <c r="DR164" s="277"/>
      <c r="DS164" s="277"/>
      <c r="DT164" s="277"/>
      <c r="DU164" s="277"/>
      <c r="DV164" s="277"/>
      <c r="DW164" s="277"/>
      <c r="DX164" s="277"/>
      <c r="DY164" s="277"/>
      <c r="DZ164" s="277"/>
      <c r="EA164" s="277"/>
      <c r="EB164" s="277"/>
      <c r="EC164" s="277"/>
      <c r="ED164" s="277"/>
      <c r="EE164" s="277"/>
      <c r="EF164" s="277"/>
      <c r="EG164" s="277"/>
      <c r="EH164" s="277"/>
      <c r="EI164" s="277"/>
      <c r="EJ164" s="277"/>
      <c r="EK164" s="277"/>
      <c r="EL164" s="277"/>
      <c r="EM164" s="277"/>
    </row>
    <row r="165" spans="1:145" s="3" customFormat="1" ht="12.5" customHeight="1">
      <c r="A165" s="897" t="str">
        <f>IF(E165=" ",D165&amp;" "&amp;F165,D165&amp;" "&amp;E165&amp;"% RP "&amp;F165)</f>
        <v xml:space="preserve">eigenes Trockenschnitzel </v>
      </c>
      <c r="B165" s="298">
        <f>IF(D165=""," ",COUNTA($D$8:D165))</f>
        <v>152</v>
      </c>
      <c r="C165" s="327"/>
      <c r="D165" s="480" t="s">
        <v>630</v>
      </c>
      <c r="E165" s="619" t="str">
        <f>IF(I165=0," ",ROUND(I165/10,0))</f>
        <v xml:space="preserve"> </v>
      </c>
      <c r="F165" s="304"/>
      <c r="G165" s="305"/>
      <c r="H165" s="91"/>
      <c r="I165" s="91"/>
      <c r="J165" s="306" t="str">
        <f>IF(I165=0," ",I165*0.38)</f>
        <v xml:space="preserve"> </v>
      </c>
      <c r="K165" s="91"/>
      <c r="L165" s="988" t="str">
        <f>IF($I165=""," ",I165*0.0205*AV165+0.0398*AW165*AE165+0.0173*AF165+0.016*$AG165+0.0147*AI165)</f>
        <v xml:space="preserve"> </v>
      </c>
      <c r="M165" s="988" t="str">
        <f t="shared" si="163"/>
        <v xml:space="preserve"> </v>
      </c>
      <c r="N165" s="307" t="str">
        <f>IF(I165=0," ",(I165/H165*880*0.0659-1)/880*H165)</f>
        <v xml:space="preserve"> </v>
      </c>
      <c r="O165" s="308" t="str">
        <f>IF(N165=" "," ",N165*0.55)</f>
        <v xml:space="preserve"> </v>
      </c>
      <c r="P165" s="307" t="str">
        <f>IF(N165=" "," ",(I165/H165*880*0.026+0.2)/880*H165)</f>
        <v xml:space="preserve"> </v>
      </c>
      <c r="Q165" s="308" t="str">
        <f>IF(N165=" "," ",P165*0.53)</f>
        <v xml:space="preserve"> </v>
      </c>
      <c r="R165" s="307" t="str">
        <f>IF(N165=" "," ",(I165/H165*880*0.0356+0.81)/880*H165)</f>
        <v xml:space="preserve"> </v>
      </c>
      <c r="S165" s="308" t="str">
        <f>IF(N165=" "," ",R165*0.28)</f>
        <v xml:space="preserve"> </v>
      </c>
      <c r="T165" s="307" t="str">
        <f>IF(N165=" "," ",0.7*H165/910)</f>
        <v xml:space="preserve"> </v>
      </c>
      <c r="U165" s="308" t="str">
        <f>IF(N165=" "," ",T165*0.4)</f>
        <v xml:space="preserve"> </v>
      </c>
      <c r="V165" s="307" t="str">
        <f t="shared" ref="V165:AB165" si="165">IF($I165=0," ",V164*$H165/$H164)</f>
        <v xml:space="preserve"> </v>
      </c>
      <c r="W165" s="307" t="str">
        <f t="shared" si="165"/>
        <v xml:space="preserve"> </v>
      </c>
      <c r="X165" s="308" t="str">
        <f t="shared" si="165"/>
        <v xml:space="preserve"> </v>
      </c>
      <c r="Y165" s="307" t="str">
        <f t="shared" si="165"/>
        <v xml:space="preserve"> </v>
      </c>
      <c r="Z165" s="307" t="str">
        <f t="shared" si="165"/>
        <v xml:space="preserve"> </v>
      </c>
      <c r="AA165" s="309" t="str">
        <f t="shared" si="165"/>
        <v xml:space="preserve"> </v>
      </c>
      <c r="AB165" s="310" t="str">
        <f t="shared" si="165"/>
        <v xml:space="preserve"> </v>
      </c>
      <c r="AC165" s="307" t="str">
        <f>IF($I165=""," ",($I165/H165*880*0.0158+0.06)/880*H165)</f>
        <v xml:space="preserve"> </v>
      </c>
      <c r="AD165" s="307" t="str">
        <f>IF(AC165=" "," ",AC165*0.59)</f>
        <v xml:space="preserve"> </v>
      </c>
      <c r="AE165" s="92"/>
      <c r="AF165" s="92"/>
      <c r="AG165" s="92"/>
      <c r="AH165" s="92"/>
      <c r="AI165" s="306" t="str">
        <f>IF($I165=""," ",(H165-AH165)*AU165-I165*AV165-AE165*AW165-AF165-AG165)</f>
        <v xml:space="preserve"> </v>
      </c>
      <c r="AJ165" s="306" t="str">
        <f t="shared" si="159"/>
        <v xml:space="preserve"> </v>
      </c>
      <c r="AK165" s="307" t="str">
        <f t="shared" ref="AK165:AP165" si="166">IF($I165=0," ",AK164*$H165/$H164)</f>
        <v xml:space="preserve"> </v>
      </c>
      <c r="AL165" s="307" t="str">
        <f t="shared" si="166"/>
        <v xml:space="preserve"> </v>
      </c>
      <c r="AM165" s="307" t="str">
        <f t="shared" si="166"/>
        <v xml:space="preserve"> </v>
      </c>
      <c r="AN165" s="306" t="str">
        <f t="shared" si="166"/>
        <v xml:space="preserve"> </v>
      </c>
      <c r="AO165" s="306" t="str">
        <f t="shared" si="166"/>
        <v xml:space="preserve"> </v>
      </c>
      <c r="AP165" s="306" t="str">
        <f t="shared" si="166"/>
        <v xml:space="preserve"> </v>
      </c>
      <c r="AQ165" s="306" t="str">
        <f t="shared" si="148"/>
        <v/>
      </c>
      <c r="AR165" s="306" t="str">
        <f t="shared" si="162"/>
        <v/>
      </c>
      <c r="AS165" s="306" t="str">
        <f>IF($I165=0," ",AX165*K165+AY165*AT165-AF165-AG165)</f>
        <v xml:space="preserve"> </v>
      </c>
      <c r="AT165" s="92" t="str">
        <f t="shared" si="161"/>
        <v xml:space="preserve"> </v>
      </c>
      <c r="AU165" s="853" t="str">
        <f>IF($I165=0," ",AU164)</f>
        <v xml:space="preserve"> </v>
      </c>
      <c r="AV165" s="853" t="str">
        <f>IF($I165=0," ",AV164)</f>
        <v xml:space="preserve"> </v>
      </c>
      <c r="AW165" s="853" t="str">
        <f>IF($I165=0," ",AW164)</f>
        <v xml:space="preserve"> </v>
      </c>
      <c r="AX165" s="853" t="str">
        <f>IF($I165=0," ",AX164)</f>
        <v xml:space="preserve"> </v>
      </c>
      <c r="AY165" s="853" t="str">
        <f>IF($I165=0," ",AY164)</f>
        <v xml:space="preserve"> </v>
      </c>
      <c r="AZ165" s="309" t="str">
        <f>IF($I165=0," ",AZ164*$H165/$H164)</f>
        <v xml:space="preserve"> </v>
      </c>
      <c r="BA165" s="92" t="str">
        <f>IF($I165=0," ",BA164*$H165/$H164*K165/K164)</f>
        <v xml:space="preserve"> </v>
      </c>
      <c r="BB165" s="92" t="str">
        <f>IF($I165=0," ",BB164*$H165/$H164*K165/K164)</f>
        <v xml:space="preserve"> </v>
      </c>
      <c r="BC165" s="988" t="str">
        <f t="shared" si="147"/>
        <v/>
      </c>
      <c r="BD165" s="277"/>
      <c r="BE165" s="277"/>
      <c r="BF165" s="277"/>
      <c r="BG165" s="277"/>
      <c r="BH165" s="277"/>
      <c r="BI165" s="277"/>
      <c r="BJ165" s="277"/>
      <c r="BK165" s="277"/>
      <c r="BL165" s="277"/>
      <c r="BM165" s="277"/>
      <c r="BN165" s="277"/>
      <c r="BO165" s="277"/>
      <c r="BP165" s="277"/>
      <c r="BQ165" s="277"/>
      <c r="BR165" s="277"/>
      <c r="BS165" s="277"/>
      <c r="BT165" s="277"/>
      <c r="BU165" s="277"/>
      <c r="BV165" s="277"/>
      <c r="BW165" s="277"/>
      <c r="BX165" s="277"/>
      <c r="BY165" s="277"/>
      <c r="BZ165" s="277"/>
      <c r="CA165" s="277"/>
      <c r="CB165" s="277"/>
      <c r="CC165" s="277"/>
      <c r="CD165" s="277"/>
      <c r="CE165" s="277"/>
      <c r="CF165" s="277"/>
      <c r="CG165" s="277"/>
      <c r="CH165" s="277"/>
      <c r="CI165" s="277"/>
      <c r="CJ165" s="277"/>
      <c r="CK165" s="277"/>
      <c r="CL165" s="277"/>
      <c r="CM165" s="277"/>
      <c r="CN165" s="277"/>
      <c r="CO165" s="277"/>
      <c r="CP165" s="277"/>
      <c r="CQ165" s="277"/>
      <c r="CR165" s="277"/>
      <c r="CS165" s="277"/>
      <c r="CT165" s="277"/>
      <c r="CU165" s="277"/>
      <c r="CV165" s="277"/>
      <c r="CW165" s="277"/>
      <c r="CX165" s="277"/>
      <c r="CY165" s="277"/>
      <c r="CZ165" s="277"/>
      <c r="DA165" s="277"/>
      <c r="DB165" s="277"/>
      <c r="DC165" s="277"/>
      <c r="DD165" s="277"/>
      <c r="DE165" s="277"/>
      <c r="DF165" s="277"/>
      <c r="DG165" s="277"/>
      <c r="DH165" s="277"/>
      <c r="DI165" s="277"/>
      <c r="DJ165" s="277"/>
      <c r="DK165" s="277"/>
      <c r="DL165" s="277"/>
      <c r="DM165" s="277"/>
      <c r="DN165" s="277"/>
      <c r="DO165" s="277"/>
      <c r="DP165" s="277"/>
      <c r="DQ165" s="277"/>
      <c r="DR165" s="277"/>
      <c r="DS165" s="277"/>
      <c r="DT165" s="277"/>
      <c r="DU165" s="277"/>
      <c r="DV165" s="277"/>
      <c r="DW165" s="277"/>
      <c r="DX165" s="277"/>
      <c r="DY165" s="277"/>
      <c r="DZ165" s="277"/>
      <c r="EA165" s="277"/>
      <c r="EB165" s="277"/>
      <c r="EC165" s="277"/>
      <c r="ED165" s="277"/>
      <c r="EE165" s="277"/>
      <c r="EF165" s="277"/>
      <c r="EG165" s="277"/>
      <c r="EH165" s="277"/>
      <c r="EI165" s="277"/>
      <c r="EJ165" s="277"/>
      <c r="EK165" s="277"/>
      <c r="EL165" s="277"/>
      <c r="EM165" s="277"/>
    </row>
    <row r="166" spans="1:145" s="3" customFormat="1" ht="12.5" customHeight="1">
      <c r="A166" s="897" t="str">
        <f>IF(E166=" ",D166&amp;" "&amp;F166,D166&amp;" "&amp;E166&amp;"% RP "&amp;F166)</f>
        <v xml:space="preserve">Wasser </v>
      </c>
      <c r="B166" s="298">
        <f>IF(D166=""," ",COUNTA($D$8:D166))</f>
        <v>153</v>
      </c>
      <c r="C166" s="327"/>
      <c r="D166" s="479" t="s">
        <v>675</v>
      </c>
      <c r="E166" s="617" t="str">
        <f>IF(I166=0," ",ROUND(I166/10,0))</f>
        <v xml:space="preserve"> </v>
      </c>
      <c r="F166" s="299"/>
      <c r="G166" s="300"/>
      <c r="H166" s="275">
        <v>0</v>
      </c>
      <c r="I166" s="275"/>
      <c r="J166" s="275"/>
      <c r="K166" s="275"/>
      <c r="L166" s="303">
        <f>I166*0.0205*AV166+0.0398*AW166*AE166+0.0173*AF166+0.016*$AG166+0.0147*AI166</f>
        <v>0</v>
      </c>
      <c r="M166" s="322">
        <v>0</v>
      </c>
      <c r="N166" s="274"/>
      <c r="O166" s="301"/>
      <c r="P166" s="274"/>
      <c r="Q166" s="301"/>
      <c r="R166" s="274"/>
      <c r="S166" s="301"/>
      <c r="T166" s="274"/>
      <c r="U166" s="301"/>
      <c r="V166" s="274">
        <v>0.5</v>
      </c>
      <c r="W166" s="274"/>
      <c r="X166" s="301"/>
      <c r="Y166" s="301"/>
      <c r="Z166" s="274"/>
      <c r="AA166" s="303">
        <f>0.25</f>
        <v>0.25</v>
      </c>
      <c r="AB166" s="276">
        <f>0.25</f>
        <v>0.25</v>
      </c>
      <c r="AC166" s="311"/>
      <c r="AD166" s="311"/>
      <c r="AE166" s="321"/>
      <c r="AF166" s="321"/>
      <c r="AG166" s="321"/>
      <c r="AH166" s="321"/>
      <c r="AI166" s="321"/>
      <c r="AJ166" s="321"/>
      <c r="AK166" s="311"/>
      <c r="AL166" s="311"/>
      <c r="AM166" s="311"/>
      <c r="AN166" s="321"/>
      <c r="AO166" s="321"/>
      <c r="AP166" s="321"/>
      <c r="AQ166" s="612">
        <f t="shared" si="148"/>
        <v>38.282253521126762</v>
      </c>
      <c r="AR166" s="847">
        <f t="shared" si="162"/>
        <v>10.07</v>
      </c>
      <c r="AS166" s="321"/>
      <c r="AT166" s="321"/>
      <c r="AU166" s="852"/>
      <c r="AV166" s="852"/>
      <c r="AW166" s="852"/>
      <c r="AX166" s="852"/>
      <c r="AY166" s="852"/>
      <c r="AZ166" s="303">
        <f>(0.93*23*AA166)/35.5+Z166</f>
        <v>0.15063380281690142</v>
      </c>
      <c r="BA166" s="321">
        <f>K166</f>
        <v>0</v>
      </c>
      <c r="BB166" s="321">
        <f>0*H166/1000</f>
        <v>0</v>
      </c>
      <c r="BC166" s="303">
        <f t="shared" si="147"/>
        <v>0</v>
      </c>
      <c r="BD166" s="277"/>
      <c r="BE166" s="277"/>
      <c r="BF166" s="277"/>
      <c r="BG166" s="277"/>
      <c r="BH166" s="277"/>
      <c r="BI166" s="277"/>
      <c r="BJ166" s="277"/>
      <c r="BK166" s="277"/>
      <c r="BL166" s="277"/>
      <c r="BM166" s="277"/>
      <c r="BN166" s="277"/>
      <c r="BO166" s="277"/>
      <c r="BP166" s="277"/>
      <c r="BQ166" s="277"/>
      <c r="BR166" s="277"/>
      <c r="BS166" s="277"/>
      <c r="BT166" s="277"/>
      <c r="BU166" s="277"/>
      <c r="BV166" s="277"/>
      <c r="BW166" s="277"/>
      <c r="BX166" s="277"/>
      <c r="BY166" s="277"/>
      <c r="BZ166" s="277"/>
      <c r="CA166" s="277"/>
      <c r="CB166" s="277"/>
      <c r="CC166" s="277"/>
      <c r="CD166" s="277"/>
      <c r="CE166" s="277"/>
      <c r="CF166" s="277"/>
      <c r="CG166" s="277"/>
      <c r="CH166" s="277"/>
      <c r="CI166" s="277"/>
      <c r="CJ166" s="277"/>
      <c r="CK166" s="277"/>
      <c r="CL166" s="277"/>
      <c r="CM166" s="277"/>
      <c r="CN166" s="277"/>
      <c r="CO166" s="277"/>
      <c r="CP166" s="277"/>
      <c r="CQ166" s="277"/>
      <c r="CR166" s="277"/>
      <c r="CS166" s="277"/>
      <c r="CT166" s="277"/>
      <c r="CU166" s="277"/>
      <c r="CV166" s="277"/>
      <c r="CW166" s="277"/>
      <c r="CX166" s="277"/>
      <c r="CY166" s="277"/>
      <c r="CZ166" s="277"/>
      <c r="DA166" s="277"/>
      <c r="DB166" s="277"/>
      <c r="DC166" s="277"/>
      <c r="DD166" s="277"/>
      <c r="DE166" s="277"/>
      <c r="DF166" s="277"/>
      <c r="DG166" s="277"/>
      <c r="DH166" s="277"/>
      <c r="DI166" s="277"/>
      <c r="DJ166" s="277"/>
      <c r="DK166" s="277"/>
      <c r="DL166" s="277"/>
      <c r="DM166" s="277"/>
      <c r="DN166" s="277"/>
      <c r="DO166" s="277"/>
      <c r="DP166" s="277"/>
      <c r="DQ166" s="277"/>
      <c r="DR166" s="277"/>
      <c r="DS166" s="277"/>
      <c r="DT166" s="277"/>
      <c r="DU166" s="277"/>
      <c r="DV166" s="277"/>
      <c r="DW166" s="277"/>
      <c r="DX166" s="277"/>
      <c r="DY166" s="277"/>
      <c r="DZ166" s="277"/>
      <c r="EA166" s="277"/>
      <c r="EB166" s="277"/>
      <c r="EC166" s="277"/>
      <c r="ED166" s="277"/>
      <c r="EE166" s="277"/>
      <c r="EF166" s="277"/>
      <c r="EG166" s="277"/>
      <c r="EH166" s="277"/>
      <c r="EI166" s="277"/>
      <c r="EJ166" s="277"/>
      <c r="EK166" s="277"/>
      <c r="EL166" s="277"/>
      <c r="EM166" s="277"/>
    </row>
    <row r="167" spans="1:145" s="3" customFormat="1" ht="12.5" customHeight="1">
      <c r="A167" s="897" t="str">
        <f t="shared" si="142"/>
        <v>Weizenkleie 14% RP DLG 2014</v>
      </c>
      <c r="B167" s="298">
        <f>IF(D167=""," ",COUNTA($D$8:D167))</f>
        <v>154</v>
      </c>
      <c r="C167" s="327"/>
      <c r="D167" s="479" t="s">
        <v>77</v>
      </c>
      <c r="E167" s="617">
        <f t="shared" si="107"/>
        <v>14</v>
      </c>
      <c r="F167" s="299" t="s">
        <v>969</v>
      </c>
      <c r="G167" s="300"/>
      <c r="H167" s="275">
        <v>880</v>
      </c>
      <c r="I167" s="275">
        <v>141</v>
      </c>
      <c r="J167" s="275">
        <f>I167*0.78</f>
        <v>109.98</v>
      </c>
      <c r="K167" s="275">
        <v>114</v>
      </c>
      <c r="L167" s="303">
        <f>I167*0.0205*AV167+0.0398*AW167*AE167+0.0173*AF167+0.016*$AG167+0.0147*AI167</f>
        <v>8.8198340000000002</v>
      </c>
      <c r="M167" s="322">
        <f>IF(I167=""," ",$I167*0.021503+0.032497*$AE167+0.016309*$AF167+0.014701*$AJ167-0.021071*$K167)</f>
        <v>9.9156990000000018</v>
      </c>
      <c r="N167" s="274">
        <f>IF(I167=0," ",(I167/H167*880*0.0373+0.43)/880*H167)</f>
        <v>5.6892999999999994</v>
      </c>
      <c r="O167" s="301">
        <f>IF(N167=" "," ",N167*0.71)</f>
        <v>4.0394029999999992</v>
      </c>
      <c r="P167" s="274">
        <f>IF(N167=" "," ",(I167/H167*880*0.0307+0.66)/880*H167)</f>
        <v>4.9887000000000006</v>
      </c>
      <c r="Q167" s="301">
        <f>IF(N167=" "," ",P167*(2.1*0.77+3.2*0.68)/5.3)</f>
        <v>3.5702149245283024</v>
      </c>
      <c r="R167" s="274">
        <f>IF(N167=" "," ",(I167/H167*880*0.0295+0.39)/880*H167)</f>
        <v>4.5494999999999992</v>
      </c>
      <c r="S167" s="301">
        <f>IF(N167=" "," ",R167*0.66)</f>
        <v>3.0026699999999997</v>
      </c>
      <c r="T167" s="274">
        <f>IF(N167=" "," ",(I167/H167*880*0.0099+0.65)/880*H167)</f>
        <v>2.0459000000000001</v>
      </c>
      <c r="U167" s="301">
        <f>IF(N167=" "," ",T167*0.75)</f>
        <v>1.5344250000000001</v>
      </c>
      <c r="V167" s="274">
        <v>1.3</v>
      </c>
      <c r="W167" s="274">
        <v>11.4</v>
      </c>
      <c r="X167" s="301">
        <f>W167*0.4</f>
        <v>4.5600000000000005</v>
      </c>
      <c r="Y167" s="301">
        <f>W167*0.65</f>
        <v>7.41</v>
      </c>
      <c r="Z167" s="274">
        <v>4.7</v>
      </c>
      <c r="AA167" s="303">
        <v>0.4</v>
      </c>
      <c r="AB167" s="276">
        <v>11.5</v>
      </c>
      <c r="AC167" s="311">
        <f>IF($I167=""," ",($I167/H167*880*0.0138+0.14)/880*H167)</f>
        <v>2.0857999999999999</v>
      </c>
      <c r="AD167" s="311">
        <f>AC167*0.77</f>
        <v>1.606066</v>
      </c>
      <c r="AE167" s="321">
        <v>39</v>
      </c>
      <c r="AF167" s="321">
        <v>132</v>
      </c>
      <c r="AG167" s="321">
        <v>56</v>
      </c>
      <c r="AH167" s="321">
        <v>55</v>
      </c>
      <c r="AI167" s="612">
        <f>(H167-AH167)*AU167-I167*AV167-AE167*AW167-AF167-AG167</f>
        <v>177.51999999999998</v>
      </c>
      <c r="AJ167" s="321">
        <f>IF($I167=""," ",$H167-($AE167+$AF167+$AH167+$I167+$K167))</f>
        <v>399</v>
      </c>
      <c r="AK167" s="311">
        <f>AL167+AM167</f>
        <v>24.18</v>
      </c>
      <c r="AL167" s="610">
        <f>57*AE167/100</f>
        <v>22.23</v>
      </c>
      <c r="AM167" s="610">
        <f>5*AE167/100</f>
        <v>1.95</v>
      </c>
      <c r="AN167" s="321"/>
      <c r="AO167" s="321"/>
      <c r="AP167" s="321"/>
      <c r="AQ167" s="612">
        <f t="shared" si="148"/>
        <v>-0.24909999999999144</v>
      </c>
      <c r="AR167" s="847">
        <f t="shared" si="162"/>
        <v>607.10199999999998</v>
      </c>
      <c r="AS167" s="321">
        <f>AX167*K167+AY167*AT167-AF167-AG167</f>
        <v>175.39000000000004</v>
      </c>
      <c r="AT167" s="321">
        <f t="shared" si="161"/>
        <v>531</v>
      </c>
      <c r="AU167" s="852">
        <v>0.6</v>
      </c>
      <c r="AV167" s="852">
        <v>0.78</v>
      </c>
      <c r="AW167" s="852">
        <v>0.5</v>
      </c>
      <c r="AX167" s="852">
        <v>0.16</v>
      </c>
      <c r="AY167" s="852">
        <v>0.65</v>
      </c>
      <c r="AZ167" s="303">
        <f>1.4*H167/1000</f>
        <v>1.232</v>
      </c>
      <c r="BA167" s="321">
        <v>128</v>
      </c>
      <c r="BB167" s="321">
        <v>450</v>
      </c>
      <c r="BC167" s="303">
        <f t="shared" si="147"/>
        <v>2.7414602700000001</v>
      </c>
      <c r="BD167" s="277"/>
      <c r="BE167" s="277"/>
      <c r="BF167" s="277"/>
      <c r="BG167" s="277"/>
      <c r="BH167" s="277"/>
      <c r="BI167" s="277"/>
      <c r="BJ167" s="277"/>
      <c r="BK167" s="277"/>
      <c r="BL167" s="277"/>
      <c r="BM167" s="277"/>
      <c r="BN167" s="277"/>
      <c r="BO167" s="277"/>
      <c r="BP167" s="277"/>
      <c r="BQ167" s="277"/>
      <c r="BR167" s="277"/>
      <c r="BS167" s="277"/>
      <c r="BT167" s="277"/>
      <c r="BU167" s="277"/>
      <c r="BV167" s="277"/>
      <c r="BW167" s="277"/>
      <c r="BX167" s="277"/>
      <c r="BY167" s="277"/>
      <c r="BZ167" s="277"/>
      <c r="CA167" s="277"/>
      <c r="CB167" s="277"/>
      <c r="CC167" s="277"/>
      <c r="CD167" s="277"/>
      <c r="CE167" s="277"/>
      <c r="CF167" s="277"/>
      <c r="CG167" s="277"/>
      <c r="CH167" s="277"/>
      <c r="CI167" s="277"/>
      <c r="CJ167" s="277"/>
      <c r="CK167" s="277"/>
      <c r="CL167" s="277"/>
      <c r="CM167" s="277"/>
      <c r="CN167" s="277"/>
      <c r="CO167" s="277"/>
      <c r="CP167" s="277"/>
      <c r="CQ167" s="277"/>
      <c r="CR167" s="277"/>
      <c r="CS167" s="277"/>
      <c r="CT167" s="277"/>
      <c r="CU167" s="277"/>
      <c r="CV167" s="277"/>
      <c r="CW167" s="277"/>
      <c r="CX167" s="277"/>
      <c r="CY167" s="277"/>
      <c r="CZ167" s="277"/>
      <c r="DA167" s="277"/>
      <c r="DB167" s="277"/>
      <c r="DC167" s="277"/>
      <c r="DD167" s="277"/>
      <c r="DE167" s="277"/>
      <c r="DF167" s="277"/>
      <c r="DG167" s="277"/>
      <c r="DH167" s="277"/>
      <c r="DI167" s="277"/>
      <c r="DJ167" s="277"/>
      <c r="DK167" s="277"/>
      <c r="DL167" s="277"/>
      <c r="DM167" s="277"/>
      <c r="DN167" s="277"/>
      <c r="DO167" s="277"/>
      <c r="DP167" s="277"/>
      <c r="DQ167" s="277"/>
      <c r="DR167" s="277"/>
      <c r="DS167" s="277"/>
      <c r="DT167" s="277"/>
      <c r="DU167" s="277"/>
      <c r="DV167" s="277"/>
      <c r="DW167" s="277"/>
      <c r="DX167" s="277"/>
      <c r="DY167" s="277"/>
      <c r="DZ167" s="277"/>
      <c r="EA167" s="277"/>
      <c r="EB167" s="277"/>
      <c r="EC167" s="277"/>
      <c r="ED167" s="277"/>
      <c r="EE167" s="277"/>
      <c r="EF167" s="277"/>
      <c r="EG167" s="277"/>
      <c r="EH167" s="277"/>
      <c r="EI167" s="277"/>
      <c r="EJ167" s="277"/>
      <c r="EK167" s="277"/>
      <c r="EL167" s="277"/>
      <c r="EM167" s="277"/>
    </row>
    <row r="168" spans="1:145" s="3" customFormat="1" ht="12.5" customHeight="1">
      <c r="A168" s="897" t="str">
        <f t="shared" si="142"/>
        <v xml:space="preserve">eigene Weizenkleie </v>
      </c>
      <c r="B168" s="298">
        <f>IF(D168=""," ",COUNTA($D$8:D168))</f>
        <v>155</v>
      </c>
      <c r="C168" s="327"/>
      <c r="D168" s="480" t="s">
        <v>296</v>
      </c>
      <c r="E168" s="619" t="str">
        <f t="shared" si="107"/>
        <v xml:space="preserve"> </v>
      </c>
      <c r="F168" s="304"/>
      <c r="G168" s="305"/>
      <c r="H168" s="91"/>
      <c r="I168" s="91"/>
      <c r="J168" s="306" t="str">
        <f>IF(I168=0," ",I168*0.72)</f>
        <v xml:space="preserve"> </v>
      </c>
      <c r="K168" s="91"/>
      <c r="L168" s="988" t="str">
        <f>IF($I168=""," ",I168*0.0205*AV168+0.0398*AW168*AE168+0.0173*AF168+0.016*$AG168+0.0147*AI168)</f>
        <v xml:space="preserve"> </v>
      </c>
      <c r="M168" s="988" t="str">
        <f>IF(I168=""," ",$I168*0.021503+0.032497*$AE168+0.016309*$AF168+0.014701*$AJ168-0.021071*$K168)</f>
        <v xml:space="preserve"> </v>
      </c>
      <c r="N168" s="307" t="str">
        <f>IF(I168=0," ",(I168/H168*880*0.0373+0.43)/880*H168)</f>
        <v xml:space="preserve"> </v>
      </c>
      <c r="O168" s="308" t="str">
        <f>IF(N168=" "," ",N168*0.71)</f>
        <v xml:space="preserve"> </v>
      </c>
      <c r="P168" s="307" t="str">
        <f>IF(N168=" "," ",(I168/H168*880*0.0307+0.66)/880*H168)</f>
        <v xml:space="preserve"> </v>
      </c>
      <c r="Q168" s="308" t="str">
        <f>IF(N168=" "," ",P168*0.73)</f>
        <v xml:space="preserve"> </v>
      </c>
      <c r="R168" s="307" t="str">
        <f>IF(N168=" "," ",(I168/H168*880*0.0295+0.39)/880*H168)</f>
        <v xml:space="preserve"> </v>
      </c>
      <c r="S168" s="308" t="str">
        <f>IF(N168=" "," ",R168*0.66)</f>
        <v xml:space="preserve"> </v>
      </c>
      <c r="T168" s="307" t="str">
        <f>IF(N168=" "," ",(I168/H168*880*0.0099+0.65)/880*H168)</f>
        <v xml:space="preserve"> </v>
      </c>
      <c r="U168" s="308" t="str">
        <f>IF(N168=" "," ",T168*0.75)</f>
        <v xml:space="preserve"> </v>
      </c>
      <c r="V168" s="307" t="str">
        <f t="shared" ref="V168:AB168" si="167">IF($I168=0," ",V167*$H168/$H167)</f>
        <v xml:space="preserve"> </v>
      </c>
      <c r="W168" s="307" t="str">
        <f t="shared" si="167"/>
        <v xml:space="preserve"> </v>
      </c>
      <c r="X168" s="308" t="str">
        <f t="shared" si="167"/>
        <v xml:space="preserve"> </v>
      </c>
      <c r="Y168" s="307" t="str">
        <f t="shared" si="167"/>
        <v xml:space="preserve"> </v>
      </c>
      <c r="Z168" s="307" t="str">
        <f t="shared" si="167"/>
        <v xml:space="preserve"> </v>
      </c>
      <c r="AA168" s="309" t="str">
        <f t="shared" si="167"/>
        <v xml:space="preserve"> </v>
      </c>
      <c r="AB168" s="310" t="str">
        <f t="shared" si="167"/>
        <v xml:space="preserve"> </v>
      </c>
      <c r="AC168" s="307" t="str">
        <f>IF($I168=""," ",($I168/H168*880*0.0138+0.14)/880*H168)</f>
        <v xml:space="preserve"> </v>
      </c>
      <c r="AD168" s="307" t="str">
        <f>IF(AC168=" "," ",AC168*0.77)</f>
        <v xml:space="preserve"> </v>
      </c>
      <c r="AE168" s="92"/>
      <c r="AF168" s="92"/>
      <c r="AG168" s="92"/>
      <c r="AH168" s="92"/>
      <c r="AI168" s="306" t="str">
        <f>IF($I168=""," ",(H168-AH168)*AU168-I168*AV168-AE168*AW168-AF168-AG168)</f>
        <v xml:space="preserve"> </v>
      </c>
      <c r="AJ168" s="306" t="str">
        <f>IF($I168=""," ",$H168-($AE168+$AF168+$AH168+$I168+$K168))</f>
        <v xml:space="preserve"> </v>
      </c>
      <c r="AK168" s="307" t="str">
        <f t="shared" ref="AK168:AP168" si="168">IF($I168=0," ",AK167*$H168/$H167)</f>
        <v xml:space="preserve"> </v>
      </c>
      <c r="AL168" s="307" t="str">
        <f t="shared" si="168"/>
        <v xml:space="preserve"> </v>
      </c>
      <c r="AM168" s="307" t="str">
        <f t="shared" si="168"/>
        <v xml:space="preserve"> </v>
      </c>
      <c r="AN168" s="306" t="str">
        <f t="shared" si="168"/>
        <v xml:space="preserve"> </v>
      </c>
      <c r="AO168" s="306" t="str">
        <f t="shared" si="168"/>
        <v xml:space="preserve"> </v>
      </c>
      <c r="AP168" s="306" t="str">
        <f t="shared" si="168"/>
        <v xml:space="preserve"> </v>
      </c>
      <c r="AQ168" s="306" t="str">
        <f t="shared" si="148"/>
        <v/>
      </c>
      <c r="AR168" s="306" t="str">
        <f t="shared" si="162"/>
        <v/>
      </c>
      <c r="AS168" s="306" t="str">
        <f>IF($I168=0," ",AX168*K168+AY168*AT168-AF168-AG168)</f>
        <v xml:space="preserve"> </v>
      </c>
      <c r="AT168" s="92" t="str">
        <f t="shared" si="161"/>
        <v xml:space="preserve"> </v>
      </c>
      <c r="AU168" s="853" t="str">
        <f>IF($I168=0," ",AU167)</f>
        <v xml:space="preserve"> </v>
      </c>
      <c r="AV168" s="853" t="str">
        <f>IF($I168=0," ",AV167)</f>
        <v xml:space="preserve"> </v>
      </c>
      <c r="AW168" s="853" t="str">
        <f>IF($I168=0," ",AW167)</f>
        <v xml:space="preserve"> </v>
      </c>
      <c r="AX168" s="853" t="str">
        <f>IF($I168=0," ",AX167)</f>
        <v xml:space="preserve"> </v>
      </c>
      <c r="AY168" s="853" t="str">
        <f>IF($I168=0," ",AY167)</f>
        <v xml:space="preserve"> </v>
      </c>
      <c r="AZ168" s="309" t="str">
        <f>IF($I168=0," ",AZ167*$H168/$H167)</f>
        <v xml:space="preserve"> </v>
      </c>
      <c r="BA168" s="92" t="str">
        <f>IF($I168=0," ",BA167*$H168/$H167*K168/K167)</f>
        <v xml:space="preserve"> </v>
      </c>
      <c r="BB168" s="92" t="str">
        <f>IF($I168=0," ",BB167*$H168/$H167*K168/K167)</f>
        <v xml:space="preserve"> </v>
      </c>
      <c r="BC168" s="988" t="str">
        <f t="shared" si="147"/>
        <v/>
      </c>
      <c r="BD168" s="277"/>
      <c r="BE168" s="277"/>
      <c r="BF168" s="277"/>
      <c r="BG168" s="277"/>
      <c r="BH168" s="277"/>
      <c r="BI168" s="277"/>
      <c r="BJ168" s="277"/>
      <c r="BK168" s="277"/>
      <c r="BL168" s="277"/>
      <c r="BM168" s="277"/>
      <c r="BN168" s="277"/>
      <c r="BO168" s="277"/>
      <c r="BP168" s="277"/>
      <c r="BQ168" s="277"/>
      <c r="BR168" s="277"/>
      <c r="BS168" s="277"/>
      <c r="BT168" s="277"/>
      <c r="BU168" s="277"/>
      <c r="BV168" s="277"/>
      <c r="BW168" s="277"/>
      <c r="BX168" s="277"/>
      <c r="BY168" s="277"/>
      <c r="BZ168" s="277"/>
      <c r="CA168" s="277"/>
      <c r="CB168" s="277"/>
      <c r="CC168" s="277"/>
      <c r="CD168" s="277"/>
      <c r="CE168" s="277"/>
      <c r="CF168" s="277"/>
      <c r="CG168" s="277"/>
      <c r="CH168" s="277"/>
      <c r="CI168" s="277"/>
      <c r="CJ168" s="277"/>
      <c r="CK168" s="277"/>
      <c r="CL168" s="277"/>
      <c r="CM168" s="277"/>
      <c r="CN168" s="277"/>
      <c r="CO168" s="277"/>
      <c r="CP168" s="277"/>
      <c r="CQ168" s="277"/>
      <c r="CR168" s="277"/>
      <c r="CS168" s="277"/>
      <c r="CT168" s="277"/>
      <c r="CU168" s="277"/>
      <c r="CV168" s="277"/>
      <c r="CW168" s="277"/>
      <c r="CX168" s="277"/>
      <c r="CY168" s="277"/>
      <c r="CZ168" s="277"/>
      <c r="DA168" s="277"/>
      <c r="DB168" s="277"/>
      <c r="DC168" s="277"/>
      <c r="DD168" s="277"/>
      <c r="DE168" s="277"/>
      <c r="DF168" s="277"/>
      <c r="DG168" s="277"/>
      <c r="DH168" s="277"/>
      <c r="DI168" s="277"/>
      <c r="DJ168" s="277"/>
      <c r="DK168" s="277"/>
      <c r="DL168" s="277"/>
      <c r="DM168" s="277"/>
      <c r="DN168" s="277"/>
      <c r="DO168" s="277"/>
      <c r="DP168" s="277"/>
      <c r="DQ168" s="277"/>
      <c r="DR168" s="277"/>
      <c r="DS168" s="277"/>
      <c r="DT168" s="277"/>
      <c r="DU168" s="277"/>
      <c r="DV168" s="277"/>
      <c r="DW168" s="277"/>
      <c r="DX168" s="277"/>
      <c r="DY168" s="277"/>
      <c r="DZ168" s="277"/>
      <c r="EA168" s="277"/>
      <c r="EB168" s="277"/>
      <c r="EC168" s="277"/>
      <c r="ED168" s="277"/>
      <c r="EE168" s="277"/>
      <c r="EF168" s="277"/>
      <c r="EG168" s="277"/>
      <c r="EH168" s="277"/>
      <c r="EI168" s="277"/>
      <c r="EJ168" s="277"/>
      <c r="EK168" s="277"/>
      <c r="EL168" s="277"/>
      <c r="EM168" s="277"/>
    </row>
    <row r="169" spans="1:145" s="3" customFormat="1" ht="12.5" customHeight="1">
      <c r="A169" s="897" t="str">
        <f>IF(E169=" ",D169&amp;" "&amp;F169,D169&amp;" "&amp;E169&amp;"% RP "&amp;F169)</f>
        <v xml:space="preserve">hier neues Futtermittel eingeben % RP </v>
      </c>
      <c r="B169" s="298">
        <f>IF(D169=""," ",COUNTA($D$8:D169))</f>
        <v>156</v>
      </c>
      <c r="C169" s="327"/>
      <c r="D169" s="1426" t="s">
        <v>852</v>
      </c>
      <c r="E169" s="1108" t="str">
        <f>IF(I169="","",ROUND(I169/10,0))</f>
        <v/>
      </c>
      <c r="F169" s="1418"/>
      <c r="G169" s="1419"/>
      <c r="H169" s="91"/>
      <c r="I169" s="91"/>
      <c r="J169" s="1420"/>
      <c r="K169" s="91"/>
      <c r="L169" s="988" t="str">
        <f>IF($I169=""," ",I169*0.0205*AV169+0.0398*AW169*AE169+0.0173*AF169+0.016*$AG169+0.0147*AI169)</f>
        <v xml:space="preserve"> </v>
      </c>
      <c r="M169" s="988" t="str">
        <f>IF(I169="","",$I169*0.021503+0.032497*$AE169+0.016309*$AF169+0.014701*$AJ169-0.021071*$K169)</f>
        <v/>
      </c>
      <c r="N169" s="1421"/>
      <c r="O169" s="1422"/>
      <c r="P169" s="1421"/>
      <c r="Q169" s="1422"/>
      <c r="R169" s="1421"/>
      <c r="S169" s="1422"/>
      <c r="T169" s="1421"/>
      <c r="U169" s="1422"/>
      <c r="V169" s="1421"/>
      <c r="W169" s="1421"/>
      <c r="X169" s="1422"/>
      <c r="Y169" s="1421"/>
      <c r="Z169" s="1421"/>
      <c r="AA169" s="1423"/>
      <c r="AB169" s="1424"/>
      <c r="AC169" s="1421"/>
      <c r="AD169" s="1421"/>
      <c r="AE169" s="1100"/>
      <c r="AF169" s="1100"/>
      <c r="AG169" s="1100"/>
      <c r="AH169" s="1100"/>
      <c r="AI169" s="1111" t="str">
        <f>IF($I169="","",(H169-AH169)*AU169-I169*AV169-AE169*AW169-AF169-AG169)</f>
        <v/>
      </c>
      <c r="AJ169" s="1111" t="str">
        <f>IF($I169="","",$H169-($AE169+$AF169+$AH169+$I169+$K169))</f>
        <v/>
      </c>
      <c r="AK169" s="1421"/>
      <c r="AL169" s="1421"/>
      <c r="AM169" s="1421"/>
      <c r="AN169" s="1420"/>
      <c r="AO169" s="1420"/>
      <c r="AP169" s="1420"/>
      <c r="AQ169" s="1111" t="str">
        <f>IF(H169="","",50*V169+83*Z169+26*AB169+44*AA169-59*W169-13*P169-28*AZ169)</f>
        <v/>
      </c>
      <c r="AR169" s="1111" t="str">
        <f>IF(H169="","",V169/1000*20140+Z169/1000*48600+1100/440*I169)</f>
        <v/>
      </c>
      <c r="AS169" s="1111" t="str">
        <f>IF($H169="","",AX169*K169+AY169*AT169-AF169-AG169)</f>
        <v/>
      </c>
      <c r="AT169" s="1100" t="str">
        <f t="shared" si="161"/>
        <v xml:space="preserve"> </v>
      </c>
      <c r="AU169" s="1425"/>
      <c r="AV169" s="1425"/>
      <c r="AW169" s="1425"/>
      <c r="AX169" s="1425"/>
      <c r="AY169" s="1425"/>
      <c r="AZ169" s="1423"/>
      <c r="BA169" s="92"/>
      <c r="BB169" s="92"/>
      <c r="BC169" s="988" t="str">
        <f t="shared" si="147"/>
        <v/>
      </c>
      <c r="BD169" s="277"/>
      <c r="BE169" s="277"/>
      <c r="BF169" s="277"/>
      <c r="BG169" s="277"/>
      <c r="BH169" s="277"/>
      <c r="BI169" s="277"/>
      <c r="BJ169" s="277"/>
      <c r="BK169" s="277"/>
      <c r="BL169" s="277"/>
      <c r="BM169" s="277"/>
      <c r="BN169" s="277"/>
      <c r="BO169" s="277"/>
      <c r="BP169" s="277"/>
      <c r="BQ169" s="277"/>
      <c r="BR169" s="277"/>
      <c r="BS169" s="277"/>
      <c r="BT169" s="277"/>
      <c r="BU169" s="277"/>
      <c r="BV169" s="277"/>
      <c r="BW169" s="277"/>
      <c r="BX169" s="277"/>
      <c r="BY169" s="277"/>
      <c r="BZ169" s="277"/>
      <c r="CA169" s="277"/>
      <c r="CB169" s="277"/>
      <c r="CC169" s="277"/>
      <c r="CD169" s="277"/>
      <c r="CE169" s="277"/>
      <c r="CF169" s="277"/>
      <c r="CG169" s="277"/>
      <c r="CH169" s="277"/>
      <c r="CI169" s="277"/>
      <c r="CJ169" s="277"/>
      <c r="CK169" s="277"/>
      <c r="CL169" s="277"/>
      <c r="CM169" s="277"/>
      <c r="CN169" s="277"/>
      <c r="CO169" s="277"/>
      <c r="CP169" s="277"/>
      <c r="CQ169" s="277"/>
      <c r="CR169" s="277"/>
      <c r="CS169" s="277"/>
      <c r="CT169" s="277"/>
      <c r="CU169" s="277"/>
      <c r="CV169" s="277"/>
      <c r="CW169" s="277"/>
      <c r="CX169" s="277"/>
      <c r="CY169" s="277"/>
      <c r="CZ169" s="277"/>
      <c r="DA169" s="277"/>
      <c r="DB169" s="277"/>
      <c r="DC169" s="277"/>
      <c r="DD169" s="277"/>
      <c r="DE169" s="277"/>
      <c r="DF169" s="277"/>
      <c r="DG169" s="277"/>
      <c r="DH169" s="277"/>
      <c r="DI169" s="277"/>
      <c r="DJ169" s="277"/>
      <c r="DK169" s="277"/>
      <c r="DL169" s="277"/>
      <c r="DM169" s="277"/>
      <c r="DN169" s="277"/>
      <c r="DO169" s="277"/>
      <c r="DP169" s="277"/>
      <c r="DQ169" s="277"/>
      <c r="DR169" s="277"/>
      <c r="DS169" s="277"/>
      <c r="DT169" s="277"/>
      <c r="DU169" s="277"/>
      <c r="DV169" s="277"/>
      <c r="DW169" s="277"/>
      <c r="DX169" s="277"/>
      <c r="DY169" s="277"/>
      <c r="DZ169" s="277"/>
      <c r="EA169" s="277"/>
      <c r="EB169" s="277"/>
      <c r="EC169" s="277"/>
      <c r="ED169" s="277"/>
      <c r="EE169" s="277"/>
      <c r="EF169" s="277"/>
      <c r="EG169" s="277"/>
      <c r="EH169" s="277"/>
      <c r="EI169" s="277"/>
      <c r="EJ169" s="277"/>
      <c r="EK169" s="277"/>
      <c r="EL169" s="277"/>
      <c r="EM169" s="277"/>
    </row>
    <row r="170" spans="1:145" s="3" customFormat="1" ht="6" customHeight="1">
      <c r="A170" s="897"/>
      <c r="B170" s="1417"/>
      <c r="C170" s="327"/>
      <c r="D170" s="1426"/>
      <c r="E170" s="1108"/>
      <c r="F170" s="1418"/>
      <c r="G170" s="1419"/>
      <c r="H170" s="1420"/>
      <c r="I170" s="1420"/>
      <c r="J170" s="1420"/>
      <c r="K170" s="1420"/>
      <c r="L170" s="1423"/>
      <c r="M170" s="1423"/>
      <c r="N170" s="1421"/>
      <c r="O170" s="1422"/>
      <c r="P170" s="1421"/>
      <c r="Q170" s="1422"/>
      <c r="R170" s="1421"/>
      <c r="S170" s="1422"/>
      <c r="T170" s="1421"/>
      <c r="U170" s="1422"/>
      <c r="V170" s="1421"/>
      <c r="W170" s="1421"/>
      <c r="X170" s="1422"/>
      <c r="Y170" s="1421"/>
      <c r="Z170" s="1421"/>
      <c r="AA170" s="1423"/>
      <c r="AB170" s="1421"/>
      <c r="AC170" s="1421"/>
      <c r="AD170" s="1421"/>
      <c r="AE170" s="1420"/>
      <c r="AF170" s="1420"/>
      <c r="AG170" s="1420"/>
      <c r="AH170" s="1420"/>
      <c r="AI170" s="1111"/>
      <c r="AJ170" s="1111"/>
      <c r="AK170" s="1421"/>
      <c r="AL170" s="1421"/>
      <c r="AM170" s="1421"/>
      <c r="AN170" s="1420"/>
      <c r="AO170" s="1420"/>
      <c r="AP170" s="1420"/>
      <c r="AQ170" s="1111"/>
      <c r="AR170" s="1111"/>
      <c r="AS170" s="1111"/>
      <c r="AT170" s="1420"/>
      <c r="AU170" s="1425"/>
      <c r="AV170" s="1425"/>
      <c r="AW170" s="1425"/>
      <c r="AX170" s="1425"/>
      <c r="AY170" s="1425"/>
      <c r="AZ170" s="1423"/>
      <c r="BA170" s="1420"/>
      <c r="BB170" s="1420"/>
      <c r="BC170" s="1420"/>
      <c r="BD170" s="277"/>
      <c r="BE170" s="277"/>
      <c r="BF170" s="277"/>
      <c r="BG170" s="277"/>
      <c r="BH170" s="277"/>
      <c r="BI170" s="277"/>
      <c r="BJ170" s="277"/>
      <c r="BK170" s="277"/>
      <c r="BL170" s="277"/>
      <c r="BM170" s="277"/>
      <c r="BN170" s="277"/>
      <c r="BO170" s="277"/>
      <c r="BP170" s="277"/>
      <c r="BQ170" s="277"/>
      <c r="BR170" s="277"/>
      <c r="BS170" s="277"/>
      <c r="BT170" s="277"/>
      <c r="BU170" s="277"/>
      <c r="BV170" s="277"/>
      <c r="BW170" s="277"/>
      <c r="BX170" s="277"/>
      <c r="BY170" s="277"/>
      <c r="BZ170" s="277"/>
      <c r="CA170" s="277"/>
      <c r="CB170" s="277"/>
      <c r="CC170" s="277"/>
      <c r="CD170" s="277"/>
      <c r="CE170" s="277"/>
      <c r="CF170" s="277"/>
      <c r="CG170" s="277"/>
      <c r="CH170" s="277"/>
      <c r="CI170" s="277"/>
      <c r="CJ170" s="277"/>
      <c r="CK170" s="277"/>
      <c r="CL170" s="277"/>
      <c r="CM170" s="277"/>
      <c r="CN170" s="277"/>
      <c r="CO170" s="277"/>
      <c r="CP170" s="277"/>
      <c r="CQ170" s="277"/>
      <c r="CR170" s="277"/>
      <c r="CS170" s="277"/>
      <c r="CT170" s="277"/>
      <c r="CU170" s="277"/>
      <c r="CV170" s="277"/>
      <c r="CW170" s="277"/>
      <c r="CX170" s="277"/>
      <c r="CY170" s="277"/>
      <c r="CZ170" s="277"/>
      <c r="DA170" s="277"/>
      <c r="DB170" s="277"/>
      <c r="DC170" s="277"/>
      <c r="DD170" s="277"/>
      <c r="DE170" s="277"/>
      <c r="DF170" s="277"/>
      <c r="DG170" s="277"/>
      <c r="DH170" s="277"/>
      <c r="DI170" s="277"/>
      <c r="DJ170" s="277"/>
      <c r="DK170" s="277"/>
      <c r="DL170" s="277"/>
      <c r="DM170" s="277"/>
      <c r="DN170" s="277"/>
      <c r="DO170" s="277"/>
      <c r="DP170" s="277"/>
      <c r="DQ170" s="277"/>
      <c r="DR170" s="277"/>
      <c r="DS170" s="277"/>
      <c r="DT170" s="277"/>
      <c r="DU170" s="277"/>
      <c r="DV170" s="277"/>
      <c r="DW170" s="277"/>
      <c r="DX170" s="277"/>
      <c r="DY170" s="277"/>
      <c r="DZ170" s="277"/>
      <c r="EA170" s="277"/>
      <c r="EB170" s="277"/>
      <c r="EC170" s="277"/>
      <c r="ED170" s="277"/>
      <c r="EE170" s="277"/>
      <c r="EF170" s="277"/>
      <c r="EG170" s="277"/>
      <c r="EH170" s="277"/>
      <c r="EI170" s="277"/>
      <c r="EJ170" s="277"/>
      <c r="EK170" s="277"/>
      <c r="EL170" s="277"/>
      <c r="EM170" s="277"/>
    </row>
    <row r="171" spans="1:145">
      <c r="A171" s="897"/>
      <c r="B171" s="898"/>
      <c r="D171" s="278" t="s">
        <v>78</v>
      </c>
      <c r="E171" s="278"/>
      <c r="F171" s="279" t="s">
        <v>699</v>
      </c>
      <c r="G171" s="278"/>
      <c r="I171" s="278"/>
      <c r="K171" s="280"/>
      <c r="L171" s="279" t="s">
        <v>79</v>
      </c>
      <c r="M171" s="283"/>
      <c r="N171" s="606"/>
      <c r="O171" s="603"/>
      <c r="P171" s="279"/>
      <c r="Q171" s="278"/>
      <c r="R171" s="282"/>
      <c r="S171" s="284"/>
      <c r="T171" s="283"/>
      <c r="U171" s="284"/>
      <c r="V171" s="283"/>
      <c r="W171" s="283"/>
      <c r="X171" s="284"/>
      <c r="Y171" s="285"/>
      <c r="Z171" s="283"/>
      <c r="AA171" s="286"/>
      <c r="AB171" s="283"/>
      <c r="AC171" s="283"/>
      <c r="AD171" s="283"/>
      <c r="AE171" s="613"/>
      <c r="AF171" s="613"/>
      <c r="AG171" s="613"/>
      <c r="AH171" s="613"/>
      <c r="AI171" s="613"/>
      <c r="AJ171" s="613"/>
      <c r="AK171" s="615"/>
      <c r="AL171" s="615"/>
      <c r="AM171" s="615"/>
      <c r="AN171" s="613"/>
      <c r="AO171" s="613"/>
      <c r="AP171" s="613"/>
      <c r="AQ171" s="613"/>
      <c r="AR171" s="845"/>
      <c r="AX171" s="613"/>
      <c r="AY171" s="613"/>
    </row>
    <row r="172" spans="1:145">
      <c r="A172" s="897"/>
      <c r="B172" s="898"/>
      <c r="D172" s="278" t="s">
        <v>1009</v>
      </c>
      <c r="E172" s="287"/>
      <c r="F172" s="278"/>
      <c r="G172" s="278"/>
      <c r="H172" s="278"/>
      <c r="I172" s="288"/>
      <c r="J172" s="288"/>
      <c r="K172" s="278"/>
      <c r="L172" s="278"/>
      <c r="M172" s="283"/>
      <c r="N172" s="278"/>
      <c r="O172" s="604"/>
      <c r="P172" s="278"/>
      <c r="Q172" s="278"/>
      <c r="R172" s="282"/>
      <c r="S172" s="282"/>
      <c r="T172" s="283"/>
      <c r="U172" s="284"/>
      <c r="V172" s="283"/>
      <c r="W172" s="284"/>
      <c r="X172" s="284"/>
      <c r="Y172" s="283"/>
      <c r="Z172" s="284"/>
      <c r="AA172" s="285"/>
      <c r="AB172" s="283"/>
      <c r="AC172" s="283"/>
      <c r="AD172" s="283"/>
      <c r="AE172" s="614"/>
      <c r="AF172" s="614"/>
      <c r="AG172" s="613"/>
      <c r="AH172" s="613"/>
      <c r="AI172" s="613"/>
      <c r="AJ172" s="613"/>
      <c r="AK172" s="615"/>
      <c r="AL172" s="615"/>
      <c r="AM172" s="615"/>
      <c r="AN172" s="613"/>
      <c r="AO172" s="613"/>
      <c r="AP172" s="613"/>
      <c r="AQ172" s="613"/>
      <c r="AR172" s="845"/>
      <c r="AX172" s="613"/>
      <c r="AY172" s="613"/>
      <c r="EN172" s="287"/>
      <c r="EO172" s="287"/>
    </row>
    <row r="173" spans="1:145">
      <c r="A173" s="897"/>
      <c r="B173" s="898"/>
      <c r="D173" s="278" t="s">
        <v>1004</v>
      </c>
      <c r="E173" s="287"/>
      <c r="F173" s="278"/>
      <c r="G173" s="289"/>
      <c r="H173" s="278"/>
      <c r="I173" s="288"/>
      <c r="J173" s="288"/>
      <c r="K173" s="280"/>
      <c r="L173" s="290"/>
      <c r="M173" s="287"/>
      <c r="N173" s="290"/>
      <c r="O173" s="603"/>
      <c r="P173" s="290"/>
      <c r="Q173" s="281"/>
      <c r="R173" s="291"/>
      <c r="S173" s="291"/>
      <c r="T173" s="287"/>
      <c r="U173" s="292"/>
      <c r="V173" s="287"/>
      <c r="W173" s="292"/>
      <c r="X173" s="292"/>
      <c r="Y173" s="287"/>
      <c r="Z173" s="292"/>
      <c r="AA173" s="285"/>
      <c r="AB173" s="287"/>
      <c r="AC173" s="287"/>
      <c r="AD173" s="287"/>
      <c r="AE173" s="613"/>
      <c r="AF173" s="613"/>
      <c r="AG173" s="613"/>
      <c r="AH173" s="613"/>
      <c r="AI173" s="613"/>
      <c r="AJ173" s="613"/>
      <c r="AN173" s="613"/>
      <c r="AO173" s="613"/>
      <c r="AP173" s="613"/>
      <c r="AQ173" s="613"/>
      <c r="AR173" s="845"/>
      <c r="AX173" s="613"/>
      <c r="AY173" s="613"/>
      <c r="EN173" s="287"/>
      <c r="EO173" s="287"/>
    </row>
    <row r="174" spans="1:145">
      <c r="A174" s="897"/>
      <c r="B174" s="898"/>
      <c r="D174" s="278" t="s">
        <v>1010</v>
      </c>
      <c r="E174" s="287"/>
      <c r="F174" s="278"/>
      <c r="G174" s="287"/>
      <c r="H174" s="283"/>
      <c r="I174" s="294"/>
      <c r="J174" s="294"/>
      <c r="K174" s="295"/>
      <c r="L174" s="296"/>
      <c r="M174" s="287"/>
      <c r="N174" s="296"/>
      <c r="O174" s="605"/>
      <c r="P174" s="296"/>
      <c r="Q174" s="297"/>
      <c r="R174" s="285"/>
      <c r="S174" s="285"/>
      <c r="T174" s="287"/>
      <c r="U174" s="292"/>
      <c r="V174" s="287"/>
      <c r="W174" s="292"/>
      <c r="X174" s="292"/>
      <c r="Y174" s="287"/>
      <c r="Z174" s="292"/>
      <c r="AA174" s="285"/>
      <c r="AB174" s="287"/>
      <c r="AC174" s="287"/>
      <c r="AD174" s="287"/>
      <c r="AE174" s="613"/>
      <c r="AF174" s="613"/>
      <c r="AG174" s="613"/>
      <c r="AH174" s="613"/>
      <c r="AI174" s="613"/>
      <c r="AJ174" s="613"/>
      <c r="AN174" s="613"/>
      <c r="AO174" s="613"/>
      <c r="AP174" s="613"/>
      <c r="AQ174" s="613"/>
      <c r="AR174" s="845"/>
      <c r="AX174" s="613"/>
      <c r="AY174" s="613"/>
      <c r="EN174" s="287"/>
      <c r="EO174" s="287"/>
    </row>
    <row r="175" spans="1:145" s="972" customFormat="1">
      <c r="A175" s="970"/>
      <c r="B175" s="971"/>
      <c r="D175" s="984"/>
      <c r="E175" s="973"/>
      <c r="F175" s="974"/>
      <c r="G175" s="974"/>
      <c r="H175" s="975"/>
      <c r="I175" s="976"/>
      <c r="J175" s="976"/>
      <c r="K175" s="976"/>
      <c r="L175" s="976"/>
      <c r="M175" s="971"/>
      <c r="N175" s="977"/>
      <c r="O175" s="978"/>
      <c r="P175" s="979"/>
      <c r="Q175" s="979"/>
      <c r="R175" s="971"/>
      <c r="S175" s="980"/>
      <c r="T175" s="971"/>
      <c r="U175" s="980"/>
      <c r="V175" s="971"/>
      <c r="W175" s="971"/>
      <c r="X175" s="980"/>
      <c r="Y175" s="979"/>
      <c r="Z175" s="971"/>
      <c r="AA175" s="981"/>
      <c r="AB175" s="971"/>
      <c r="AC175" s="971"/>
      <c r="AD175" s="971"/>
      <c r="AE175" s="982"/>
      <c r="AF175" s="982"/>
      <c r="AG175" s="982"/>
      <c r="AH175" s="982"/>
      <c r="AI175" s="982"/>
      <c r="AJ175" s="982"/>
      <c r="AK175" s="971"/>
      <c r="AL175" s="971"/>
      <c r="AM175" s="971"/>
      <c r="AN175" s="971"/>
      <c r="AO175" s="971"/>
      <c r="AP175" s="971"/>
      <c r="AQ175" s="971"/>
      <c r="AR175" s="983"/>
      <c r="AS175" s="982"/>
      <c r="AT175" s="982"/>
      <c r="AU175" s="982"/>
      <c r="AV175" s="982"/>
      <c r="AW175" s="982"/>
      <c r="AX175" s="971"/>
      <c r="AY175" s="971"/>
      <c r="AZ175" s="971"/>
      <c r="BA175" s="982"/>
      <c r="BB175" s="982"/>
      <c r="BC175" s="982"/>
      <c r="BD175" s="971"/>
      <c r="BE175" s="971"/>
      <c r="BF175" s="971"/>
      <c r="BG175" s="971"/>
      <c r="BH175" s="971"/>
      <c r="BI175" s="971"/>
      <c r="BJ175" s="971"/>
      <c r="BK175" s="971"/>
      <c r="BL175" s="971"/>
      <c r="BM175" s="971"/>
      <c r="BN175" s="971"/>
      <c r="BO175" s="971"/>
      <c r="BP175" s="971"/>
      <c r="BQ175" s="971"/>
      <c r="BR175" s="971"/>
      <c r="BS175" s="971"/>
      <c r="BT175" s="971"/>
      <c r="BU175" s="971"/>
      <c r="BV175" s="971"/>
      <c r="BW175" s="971"/>
      <c r="BX175" s="971"/>
      <c r="BY175" s="971"/>
      <c r="BZ175" s="971"/>
      <c r="CA175" s="971"/>
      <c r="CB175" s="971"/>
      <c r="CC175" s="971"/>
      <c r="CD175" s="971"/>
      <c r="CE175" s="971"/>
      <c r="CF175" s="971"/>
      <c r="CG175" s="971"/>
      <c r="CH175" s="971"/>
      <c r="CI175" s="971"/>
      <c r="CJ175" s="971"/>
      <c r="CK175" s="971"/>
      <c r="CL175" s="971"/>
      <c r="CM175" s="971"/>
      <c r="CN175" s="971"/>
      <c r="CO175" s="971"/>
      <c r="CP175" s="971"/>
      <c r="CQ175" s="971"/>
      <c r="CR175" s="971"/>
      <c r="CS175" s="971"/>
      <c r="CT175" s="971"/>
      <c r="CU175" s="971"/>
      <c r="CV175" s="971"/>
      <c r="CW175" s="971"/>
      <c r="CX175" s="971"/>
      <c r="CY175" s="971"/>
      <c r="CZ175" s="971"/>
      <c r="DA175" s="971"/>
      <c r="DB175" s="971"/>
      <c r="DC175" s="971"/>
      <c r="DD175" s="971"/>
      <c r="DE175" s="971"/>
      <c r="DF175" s="971"/>
      <c r="DG175" s="971"/>
      <c r="DH175" s="971"/>
      <c r="DI175" s="971"/>
      <c r="DJ175" s="971"/>
      <c r="DK175" s="971"/>
      <c r="DL175" s="971"/>
      <c r="DM175" s="971"/>
      <c r="DN175" s="971"/>
      <c r="DO175" s="971"/>
      <c r="DP175" s="971"/>
      <c r="DQ175" s="971"/>
      <c r="DR175" s="971"/>
      <c r="DS175" s="971"/>
      <c r="DT175" s="971"/>
      <c r="DU175" s="971"/>
      <c r="DV175" s="971"/>
      <c r="DW175" s="971"/>
      <c r="DX175" s="971"/>
      <c r="DY175" s="971"/>
      <c r="DZ175" s="971"/>
      <c r="EA175" s="971"/>
      <c r="EB175" s="971"/>
      <c r="EC175" s="971"/>
      <c r="ED175" s="971"/>
      <c r="EE175" s="971"/>
      <c r="EF175" s="971"/>
      <c r="EG175" s="971"/>
      <c r="EH175" s="971"/>
      <c r="EI175" s="971"/>
      <c r="EJ175" s="971"/>
      <c r="EK175" s="971"/>
      <c r="EL175" s="971"/>
      <c r="EM175" s="971"/>
    </row>
    <row r="176" spans="1:145">
      <c r="A176" s="897"/>
      <c r="B176" s="287"/>
      <c r="C176" s="287"/>
      <c r="D176" s="283"/>
      <c r="E176" s="294"/>
      <c r="F176" s="294"/>
      <c r="G176" s="295"/>
      <c r="H176" s="296"/>
      <c r="I176" s="296"/>
      <c r="J176" s="296"/>
      <c r="K176" s="296"/>
      <c r="L176" s="605"/>
      <c r="M176" s="287"/>
      <c r="N176" s="297"/>
      <c r="O176" s="285"/>
      <c r="P176" s="297"/>
      <c r="Q176" s="285"/>
      <c r="R176" s="287"/>
      <c r="S176" s="292"/>
      <c r="T176" s="287"/>
      <c r="U176" s="292"/>
      <c r="V176" s="287"/>
      <c r="W176" s="287"/>
      <c r="X176" s="292"/>
      <c r="Y176" s="285"/>
      <c r="Z176" s="287"/>
      <c r="AA176" s="293"/>
      <c r="AB176" s="287"/>
      <c r="AC176" s="287"/>
      <c r="AD176" s="287"/>
      <c r="AE176" s="613"/>
      <c r="AF176" s="613"/>
      <c r="AG176" s="613"/>
      <c r="AH176" s="613"/>
      <c r="AI176" s="613"/>
      <c r="AJ176" s="613"/>
    </row>
    <row r="177" spans="1:143">
      <c r="A177" s="897"/>
      <c r="B177" s="287"/>
      <c r="C177" s="287"/>
      <c r="D177" s="283"/>
      <c r="E177" s="294"/>
      <c r="F177" s="294"/>
      <c r="G177" s="295"/>
      <c r="H177" s="296"/>
      <c r="I177" s="296"/>
      <c r="J177" s="296"/>
      <c r="K177" s="296"/>
      <c r="L177" s="605"/>
      <c r="M177" s="287"/>
      <c r="N177" s="297"/>
      <c r="O177" s="285"/>
      <c r="P177" s="297"/>
      <c r="Q177" s="285"/>
      <c r="R177" s="287"/>
      <c r="S177" s="292"/>
      <c r="T177" s="287"/>
      <c r="U177" s="292"/>
      <c r="V177" s="287"/>
      <c r="W177" s="287"/>
      <c r="X177" s="292"/>
      <c r="Y177" s="285"/>
      <c r="Z177" s="287"/>
      <c r="AA177" s="293"/>
      <c r="AB177" s="287"/>
      <c r="AC177" s="287"/>
      <c r="AD177" s="287"/>
      <c r="AE177" s="613"/>
      <c r="AF177" s="613"/>
      <c r="AG177" s="613"/>
      <c r="AH177" s="613"/>
      <c r="AI177" s="613"/>
      <c r="AJ177" s="613"/>
    </row>
    <row r="178" spans="1:143">
      <c r="A178" s="897"/>
      <c r="B178" s="287"/>
      <c r="C178" s="287"/>
      <c r="D178" s="283"/>
      <c r="E178" s="294"/>
      <c r="F178" s="294"/>
      <c r="G178" s="295"/>
      <c r="H178" s="296"/>
      <c r="I178" s="296"/>
      <c r="J178" s="296"/>
      <c r="K178" s="296"/>
      <c r="L178" s="605"/>
      <c r="M178" s="287"/>
      <c r="N178" s="297"/>
      <c r="O178" s="285"/>
      <c r="P178" s="297"/>
      <c r="Q178" s="285"/>
      <c r="R178" s="287"/>
      <c r="S178" s="292"/>
      <c r="T178" s="287"/>
      <c r="U178" s="292"/>
      <c r="V178" s="287"/>
      <c r="W178" s="287"/>
      <c r="X178" s="292"/>
      <c r="Y178" s="285"/>
      <c r="Z178" s="287"/>
      <c r="AA178" s="293"/>
      <c r="AB178" s="287"/>
      <c r="AC178" s="287"/>
      <c r="AD178" s="287"/>
      <c r="AE178" s="613"/>
      <c r="AF178" s="613"/>
      <c r="AG178" s="613"/>
      <c r="AH178" s="613"/>
      <c r="AI178" s="613"/>
      <c r="AJ178" s="613"/>
    </row>
    <row r="179" spans="1:143">
      <c r="A179" s="897"/>
      <c r="B179" s="287"/>
      <c r="C179" s="287"/>
      <c r="D179" s="283"/>
      <c r="E179" s="294"/>
      <c r="F179" s="294"/>
      <c r="G179" s="295"/>
      <c r="H179" s="296"/>
      <c r="I179" s="296"/>
      <c r="J179" s="296"/>
      <c r="K179" s="296"/>
      <c r="L179" s="605"/>
      <c r="M179" s="287"/>
      <c r="N179" s="297"/>
      <c r="O179" s="285"/>
      <c r="P179" s="297"/>
      <c r="Q179" s="285"/>
      <c r="R179" s="287"/>
      <c r="S179" s="292"/>
      <c r="T179" s="287"/>
      <c r="U179" s="292"/>
      <c r="V179" s="287"/>
      <c r="W179" s="287"/>
      <c r="X179" s="292"/>
      <c r="Y179" s="285"/>
      <c r="Z179" s="287"/>
      <c r="AA179" s="293"/>
      <c r="AB179" s="287"/>
      <c r="AC179" s="287"/>
      <c r="AD179" s="287"/>
      <c r="AE179" s="613"/>
      <c r="AF179" s="613"/>
      <c r="AG179" s="613"/>
      <c r="AH179" s="613"/>
      <c r="AI179" s="613"/>
      <c r="AJ179" s="613"/>
    </row>
    <row r="180" spans="1:143">
      <c r="A180" s="897"/>
      <c r="B180" s="287"/>
      <c r="C180" s="287"/>
      <c r="D180" s="283"/>
      <c r="E180" s="294"/>
      <c r="F180" s="294"/>
      <c r="G180" s="295"/>
      <c r="H180" s="296"/>
      <c r="I180" s="296"/>
      <c r="J180" s="296"/>
      <c r="K180" s="296"/>
      <c r="L180" s="605"/>
      <c r="M180" s="287"/>
      <c r="N180" s="297"/>
      <c r="O180" s="285"/>
      <c r="P180" s="297"/>
      <c r="Q180" s="285"/>
      <c r="R180" s="287"/>
      <c r="S180" s="292"/>
      <c r="T180" s="287"/>
      <c r="U180" s="292"/>
      <c r="V180" s="287"/>
      <c r="W180" s="287"/>
      <c r="X180" s="292"/>
      <c r="Y180" s="285"/>
      <c r="Z180" s="287"/>
      <c r="AA180" s="293"/>
      <c r="AB180" s="287"/>
      <c r="AC180" s="287"/>
      <c r="AD180" s="287"/>
      <c r="AE180" s="613"/>
      <c r="AF180" s="613"/>
      <c r="AG180" s="613"/>
      <c r="AH180" s="613"/>
      <c r="AI180" s="613"/>
      <c r="AJ180" s="613"/>
    </row>
    <row r="181" spans="1:143">
      <c r="A181" s="897"/>
      <c r="B181" s="287"/>
      <c r="C181" s="287"/>
      <c r="D181" s="283"/>
      <c r="E181" s="294"/>
      <c r="F181" s="294"/>
      <c r="G181" s="295"/>
      <c r="H181" s="296"/>
      <c r="I181" s="296"/>
      <c r="J181" s="296"/>
      <c r="K181" s="296"/>
      <c r="L181" s="605"/>
      <c r="M181" s="287"/>
      <c r="N181" s="297"/>
      <c r="O181" s="285"/>
      <c r="P181" s="297"/>
      <c r="Q181" s="285"/>
      <c r="R181" s="287"/>
      <c r="S181" s="292"/>
      <c r="T181" s="287"/>
      <c r="U181" s="292"/>
      <c r="V181" s="287"/>
      <c r="W181" s="287"/>
      <c r="X181" s="292"/>
      <c r="Y181" s="285"/>
      <c r="Z181" s="287"/>
      <c r="AA181" s="293"/>
      <c r="AB181" s="287"/>
      <c r="AC181" s="287"/>
      <c r="AD181" s="287"/>
      <c r="AE181" s="613"/>
      <c r="AF181" s="613"/>
      <c r="AG181" s="613"/>
      <c r="AH181" s="613"/>
      <c r="AI181" s="613"/>
      <c r="AJ181" s="613"/>
    </row>
    <row r="182" spans="1:143">
      <c r="A182" s="897"/>
      <c r="B182" s="287"/>
      <c r="C182" s="287"/>
      <c r="D182" s="283"/>
      <c r="E182" s="294"/>
      <c r="F182" s="294"/>
      <c r="G182" s="295"/>
      <c r="H182" s="296"/>
      <c r="I182" s="296"/>
      <c r="J182" s="296"/>
      <c r="K182" s="296"/>
      <c r="L182" s="605"/>
      <c r="M182" s="287"/>
      <c r="N182" s="297"/>
      <c r="O182" s="285"/>
      <c r="P182" s="297"/>
      <c r="Q182" s="285"/>
      <c r="R182" s="287"/>
      <c r="S182" s="292"/>
      <c r="T182" s="287"/>
      <c r="U182" s="292"/>
      <c r="V182" s="287"/>
      <c r="W182" s="287"/>
      <c r="X182" s="292"/>
      <c r="Y182" s="285"/>
      <c r="Z182" s="287"/>
      <c r="AA182" s="293"/>
      <c r="AB182" s="287"/>
      <c r="AC182" s="287"/>
      <c r="AD182" s="287"/>
      <c r="AE182" s="613"/>
      <c r="AF182" s="613"/>
      <c r="AG182" s="613"/>
      <c r="AH182" s="613"/>
      <c r="AI182" s="613"/>
      <c r="AJ182" s="613"/>
    </row>
    <row r="183" spans="1:143">
      <c r="A183" s="897"/>
      <c r="B183" s="287"/>
      <c r="C183" s="287"/>
      <c r="D183" s="283"/>
      <c r="E183" s="294"/>
      <c r="F183" s="294"/>
      <c r="G183" s="295"/>
      <c r="H183" s="296"/>
      <c r="I183" s="296"/>
      <c r="J183" s="296"/>
      <c r="K183" s="296"/>
      <c r="L183" s="605"/>
      <c r="M183" s="287"/>
      <c r="N183" s="297"/>
      <c r="O183" s="285"/>
      <c r="P183" s="297"/>
      <c r="Q183" s="285"/>
      <c r="R183" s="287"/>
      <c r="S183" s="292"/>
      <c r="T183" s="287"/>
      <c r="U183" s="292"/>
      <c r="V183" s="287"/>
      <c r="W183" s="287"/>
      <c r="X183" s="292"/>
      <c r="Y183" s="285"/>
      <c r="Z183" s="287"/>
      <c r="AA183" s="293"/>
      <c r="AB183" s="287"/>
      <c r="AC183" s="287"/>
      <c r="AD183" s="287"/>
      <c r="AE183" s="613"/>
      <c r="AF183" s="613"/>
      <c r="AG183" s="613"/>
      <c r="AH183" s="613"/>
      <c r="AI183" s="613"/>
      <c r="AJ183" s="613"/>
    </row>
    <row r="184" spans="1:143">
      <c r="A184" s="897"/>
      <c r="B184" s="287"/>
      <c r="C184" s="287"/>
      <c r="D184" s="283"/>
      <c r="E184" s="294"/>
      <c r="F184" s="294"/>
      <c r="G184" s="295"/>
      <c r="H184" s="296"/>
      <c r="I184" s="296"/>
      <c r="J184" s="296"/>
      <c r="K184" s="296"/>
      <c r="L184" s="605"/>
      <c r="M184" s="287"/>
      <c r="N184" s="297"/>
      <c r="O184" s="285"/>
      <c r="P184" s="297"/>
      <c r="Q184" s="285"/>
      <c r="R184" s="287"/>
      <c r="S184" s="292"/>
      <c r="T184" s="287"/>
      <c r="U184" s="292"/>
      <c r="V184" s="287"/>
      <c r="W184" s="287"/>
      <c r="X184" s="292"/>
      <c r="Y184" s="285"/>
      <c r="Z184" s="287"/>
      <c r="AA184" s="293"/>
      <c r="AB184" s="287"/>
      <c r="AC184" s="287"/>
      <c r="AD184" s="287"/>
      <c r="AE184" s="613"/>
      <c r="AF184" s="613"/>
      <c r="AG184" s="613"/>
      <c r="AH184" s="613"/>
      <c r="AI184" s="613"/>
      <c r="AJ184" s="613"/>
    </row>
    <row r="185" spans="1:143">
      <c r="A185" s="897"/>
      <c r="B185" s="287"/>
      <c r="C185" s="287"/>
      <c r="D185" s="283"/>
      <c r="E185" s="294"/>
      <c r="F185" s="294"/>
      <c r="G185" s="295"/>
      <c r="H185" s="296"/>
      <c r="I185" s="296"/>
      <c r="J185" s="296"/>
      <c r="K185" s="296"/>
      <c r="L185" s="605"/>
      <c r="M185" s="287"/>
      <c r="N185" s="297"/>
      <c r="O185" s="285"/>
      <c r="P185" s="297"/>
      <c r="Q185" s="285"/>
      <c r="R185" s="287"/>
      <c r="S185" s="292"/>
      <c r="T185" s="287"/>
      <c r="U185" s="292"/>
      <c r="V185" s="287"/>
      <c r="W185" s="287"/>
      <c r="X185" s="292"/>
      <c r="Y185" s="285"/>
      <c r="Z185" s="287"/>
      <c r="AA185" s="293"/>
      <c r="AB185" s="287"/>
      <c r="AC185" s="287"/>
      <c r="AD185" s="287"/>
      <c r="AE185" s="613"/>
      <c r="AF185" s="613"/>
      <c r="AG185" s="613"/>
      <c r="AH185" s="613"/>
      <c r="AI185" s="613"/>
      <c r="AJ185" s="613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</row>
    <row r="186" spans="1:143" s="898" customFormat="1">
      <c r="A186" s="897"/>
      <c r="D186" s="899"/>
      <c r="E186" s="900"/>
      <c r="F186" s="900"/>
      <c r="G186" s="901"/>
      <c r="H186" s="902"/>
      <c r="I186" s="902"/>
      <c r="J186" s="902"/>
      <c r="K186" s="902"/>
      <c r="L186" s="903"/>
      <c r="N186" s="904"/>
      <c r="O186" s="905"/>
      <c r="P186" s="904"/>
      <c r="Q186" s="905"/>
      <c r="S186" s="906"/>
      <c r="U186" s="906"/>
      <c r="X186" s="906"/>
      <c r="Y186" s="905"/>
      <c r="AA186" s="907"/>
      <c r="AE186" s="908"/>
      <c r="AF186" s="908"/>
      <c r="AG186" s="908"/>
      <c r="AH186" s="908"/>
      <c r="AI186" s="908"/>
      <c r="AJ186" s="908"/>
      <c r="AR186" s="909"/>
      <c r="AS186" s="908"/>
      <c r="AT186" s="908"/>
      <c r="AU186" s="908"/>
      <c r="AV186" s="908"/>
      <c r="AW186" s="908"/>
      <c r="BA186" s="908"/>
      <c r="BB186" s="908"/>
      <c r="BC186" s="908"/>
    </row>
    <row r="187" spans="1:143" s="898" customFormat="1">
      <c r="A187" s="897"/>
      <c r="D187" s="899"/>
      <c r="E187" s="900"/>
      <c r="F187" s="900"/>
      <c r="G187" s="901"/>
      <c r="H187" s="902"/>
      <c r="I187" s="902"/>
      <c r="J187" s="902"/>
      <c r="K187" s="902"/>
      <c r="L187" s="903"/>
      <c r="N187" s="904"/>
      <c r="O187" s="905"/>
      <c r="P187" s="904"/>
      <c r="Q187" s="905"/>
      <c r="S187" s="906"/>
      <c r="U187" s="906"/>
      <c r="X187" s="906"/>
      <c r="Y187" s="905"/>
      <c r="AA187" s="907"/>
      <c r="AE187" s="908"/>
      <c r="AF187" s="908"/>
      <c r="AG187" s="908"/>
      <c r="AH187" s="908"/>
      <c r="AI187" s="908"/>
      <c r="AJ187" s="908"/>
    </row>
    <row r="188" spans="1:143" s="898" customFormat="1">
      <c r="A188" s="897"/>
      <c r="D188" s="899"/>
      <c r="E188" s="900"/>
      <c r="F188" s="900"/>
      <c r="G188" s="901"/>
      <c r="H188" s="902"/>
      <c r="I188" s="902"/>
      <c r="J188" s="902"/>
      <c r="K188" s="902"/>
      <c r="L188" s="903"/>
      <c r="N188" s="904"/>
      <c r="O188" s="905"/>
      <c r="P188" s="904"/>
      <c r="Q188" s="905"/>
      <c r="S188" s="906"/>
      <c r="U188" s="906"/>
      <c r="X188" s="906"/>
      <c r="Y188" s="905"/>
      <c r="AA188" s="907"/>
      <c r="AE188" s="908"/>
      <c r="AF188" s="908"/>
      <c r="AG188" s="908"/>
      <c r="AH188" s="908"/>
      <c r="AI188" s="908"/>
      <c r="AJ188" s="908"/>
    </row>
    <row r="189" spans="1:143" s="898" customFormat="1">
      <c r="A189" s="897"/>
      <c r="D189" s="899"/>
      <c r="E189" s="900"/>
      <c r="F189" s="900"/>
      <c r="G189" s="901"/>
      <c r="H189" s="902"/>
      <c r="I189" s="902"/>
      <c r="J189" s="902"/>
      <c r="K189" s="902"/>
      <c r="L189" s="903"/>
      <c r="N189" s="904"/>
      <c r="O189" s="905"/>
      <c r="P189" s="904"/>
      <c r="Q189" s="905"/>
      <c r="S189" s="906"/>
      <c r="U189" s="906"/>
      <c r="X189" s="906"/>
      <c r="Y189" s="905"/>
      <c r="AA189" s="907"/>
      <c r="AE189" s="908"/>
      <c r="AF189" s="908"/>
      <c r="AG189" s="908"/>
      <c r="AH189" s="908"/>
      <c r="AI189" s="908"/>
      <c r="AJ189" s="908"/>
    </row>
    <row r="190" spans="1:143" s="898" customFormat="1">
      <c r="A190" s="897"/>
      <c r="D190" s="899"/>
      <c r="E190" s="900"/>
      <c r="F190" s="900"/>
      <c r="G190" s="901"/>
      <c r="H190" s="902"/>
      <c r="I190" s="902"/>
      <c r="J190" s="902"/>
      <c r="K190" s="902"/>
      <c r="L190" s="903"/>
      <c r="N190" s="904"/>
      <c r="O190" s="905"/>
      <c r="P190" s="904"/>
      <c r="Q190" s="905"/>
      <c r="S190" s="906"/>
      <c r="U190" s="906"/>
      <c r="X190" s="906"/>
      <c r="Y190" s="905"/>
      <c r="AA190" s="907"/>
      <c r="AE190" s="908"/>
      <c r="AF190" s="908"/>
      <c r="AG190" s="908"/>
      <c r="AH190" s="908"/>
      <c r="AI190" s="908"/>
      <c r="AJ190" s="908"/>
    </row>
    <row r="191" spans="1:143" s="898" customFormat="1">
      <c r="A191" s="897"/>
      <c r="D191" s="899"/>
      <c r="E191" s="900"/>
      <c r="F191" s="900"/>
      <c r="G191" s="901"/>
      <c r="H191" s="902"/>
      <c r="I191" s="902"/>
      <c r="J191" s="902"/>
      <c r="K191" s="902"/>
      <c r="L191" s="903"/>
      <c r="N191" s="904"/>
      <c r="O191" s="905"/>
      <c r="P191" s="904"/>
      <c r="Q191" s="905"/>
      <c r="S191" s="906"/>
      <c r="U191" s="906"/>
      <c r="X191" s="906"/>
      <c r="Y191" s="905"/>
      <c r="AA191" s="907"/>
      <c r="AE191" s="908"/>
      <c r="AF191" s="908"/>
      <c r="AG191" s="908"/>
      <c r="AH191" s="908"/>
      <c r="AI191" s="908"/>
      <c r="AJ191" s="908"/>
    </row>
    <row r="192" spans="1:143" s="898" customFormat="1">
      <c r="A192" s="897"/>
      <c r="D192" s="899"/>
      <c r="E192" s="900"/>
      <c r="F192" s="900"/>
      <c r="G192" s="901"/>
      <c r="H192" s="902"/>
      <c r="I192" s="902"/>
      <c r="J192" s="902"/>
      <c r="K192" s="902"/>
      <c r="L192" s="903"/>
      <c r="N192" s="904"/>
      <c r="O192" s="905"/>
      <c r="P192" s="904"/>
      <c r="Q192" s="905"/>
      <c r="S192" s="906"/>
      <c r="U192" s="906"/>
      <c r="X192" s="906"/>
      <c r="Y192" s="905"/>
      <c r="AA192" s="907"/>
      <c r="AE192" s="908"/>
      <c r="AF192" s="908"/>
      <c r="AG192" s="908"/>
      <c r="AH192" s="908"/>
      <c r="AI192" s="908"/>
      <c r="AJ192" s="908"/>
    </row>
    <row r="193" spans="1:36" s="898" customFormat="1">
      <c r="A193" s="897"/>
      <c r="D193" s="899"/>
      <c r="E193" s="900"/>
      <c r="F193" s="900"/>
      <c r="G193" s="901"/>
      <c r="H193" s="902"/>
      <c r="I193" s="902"/>
      <c r="J193" s="902"/>
      <c r="K193" s="902"/>
      <c r="L193" s="903"/>
      <c r="N193" s="904"/>
      <c r="O193" s="905"/>
      <c r="P193" s="904"/>
      <c r="Q193" s="905"/>
      <c r="S193" s="906"/>
      <c r="U193" s="906"/>
      <c r="X193" s="906"/>
      <c r="Y193" s="905"/>
      <c r="AA193" s="907"/>
      <c r="AE193" s="908"/>
      <c r="AF193" s="908"/>
      <c r="AG193" s="908"/>
      <c r="AH193" s="908"/>
      <c r="AI193" s="908"/>
      <c r="AJ193" s="908"/>
    </row>
    <row r="194" spans="1:36" s="898" customFormat="1">
      <c r="A194" s="897"/>
      <c r="D194" s="899"/>
      <c r="E194" s="900"/>
      <c r="F194" s="900"/>
      <c r="G194" s="901"/>
      <c r="H194" s="902"/>
      <c r="I194" s="902"/>
      <c r="J194" s="902"/>
      <c r="K194" s="902"/>
      <c r="L194" s="903"/>
      <c r="N194" s="904"/>
      <c r="O194" s="905"/>
      <c r="P194" s="904"/>
      <c r="Q194" s="905"/>
      <c r="S194" s="906"/>
      <c r="U194" s="906"/>
      <c r="X194" s="906"/>
      <c r="Y194" s="905"/>
      <c r="AA194" s="907"/>
      <c r="AE194" s="908"/>
      <c r="AF194" s="908"/>
      <c r="AG194" s="908"/>
      <c r="AH194" s="908"/>
      <c r="AI194" s="908"/>
      <c r="AJ194" s="908"/>
    </row>
    <row r="195" spans="1:36" s="898" customFormat="1">
      <c r="A195" s="897"/>
      <c r="D195" s="899"/>
      <c r="E195" s="900"/>
      <c r="F195" s="900"/>
      <c r="G195" s="901"/>
      <c r="H195" s="902"/>
      <c r="I195" s="902"/>
      <c r="J195" s="902"/>
      <c r="K195" s="902"/>
      <c r="L195" s="903"/>
      <c r="N195" s="904"/>
      <c r="O195" s="905"/>
      <c r="P195" s="904"/>
      <c r="Q195" s="905"/>
      <c r="S195" s="906"/>
      <c r="U195" s="906"/>
      <c r="X195" s="906"/>
      <c r="Y195" s="905"/>
      <c r="AA195" s="907"/>
      <c r="AE195" s="908"/>
      <c r="AF195" s="908"/>
      <c r="AG195" s="908"/>
      <c r="AH195" s="908"/>
      <c r="AI195" s="908"/>
      <c r="AJ195" s="908"/>
    </row>
    <row r="196" spans="1:36" s="898" customFormat="1">
      <c r="A196" s="897"/>
      <c r="D196" s="899"/>
      <c r="E196" s="900"/>
      <c r="F196" s="900"/>
      <c r="G196" s="901"/>
      <c r="H196" s="902"/>
      <c r="I196" s="902"/>
      <c r="J196" s="902"/>
      <c r="K196" s="902"/>
      <c r="L196" s="903"/>
      <c r="N196" s="904"/>
      <c r="O196" s="905"/>
      <c r="P196" s="904"/>
      <c r="Q196" s="905"/>
      <c r="S196" s="906"/>
      <c r="U196" s="906"/>
      <c r="X196" s="906"/>
      <c r="Y196" s="905"/>
      <c r="AA196" s="907"/>
      <c r="AE196" s="908"/>
      <c r="AF196" s="908"/>
      <c r="AG196" s="908"/>
      <c r="AH196" s="908"/>
      <c r="AI196" s="908"/>
      <c r="AJ196" s="908"/>
    </row>
    <row r="197" spans="1:36" s="898" customFormat="1">
      <c r="A197" s="897"/>
      <c r="D197" s="899"/>
      <c r="E197" s="900"/>
      <c r="F197" s="900"/>
      <c r="G197" s="901"/>
      <c r="H197" s="902"/>
      <c r="I197" s="902"/>
      <c r="J197" s="902"/>
      <c r="K197" s="902"/>
      <c r="L197" s="903"/>
      <c r="N197" s="904"/>
      <c r="O197" s="905"/>
      <c r="P197" s="904"/>
      <c r="Q197" s="905"/>
      <c r="S197" s="906"/>
      <c r="U197" s="906"/>
      <c r="X197" s="906"/>
      <c r="Y197" s="905"/>
      <c r="AA197" s="907"/>
      <c r="AE197" s="908"/>
      <c r="AF197" s="908"/>
      <c r="AG197" s="908"/>
      <c r="AH197" s="908"/>
      <c r="AI197" s="908"/>
      <c r="AJ197" s="908"/>
    </row>
    <row r="198" spans="1:36" s="898" customFormat="1">
      <c r="A198" s="897"/>
      <c r="D198" s="899"/>
      <c r="E198" s="900"/>
      <c r="F198" s="900"/>
      <c r="G198" s="901"/>
      <c r="H198" s="902"/>
      <c r="I198" s="902"/>
      <c r="J198" s="902"/>
      <c r="K198" s="902"/>
      <c r="L198" s="903"/>
      <c r="N198" s="904"/>
      <c r="O198" s="905"/>
      <c r="P198" s="904"/>
      <c r="Q198" s="905"/>
      <c r="S198" s="906"/>
      <c r="U198" s="906"/>
      <c r="X198" s="906"/>
      <c r="Y198" s="905"/>
      <c r="AA198" s="907"/>
      <c r="AE198" s="908"/>
      <c r="AF198" s="908"/>
      <c r="AG198" s="908"/>
      <c r="AH198" s="908"/>
      <c r="AI198" s="908"/>
      <c r="AJ198" s="908"/>
    </row>
    <row r="199" spans="1:36" s="898" customFormat="1">
      <c r="A199" s="897"/>
      <c r="D199" s="899"/>
      <c r="E199" s="900"/>
      <c r="F199" s="900"/>
      <c r="G199" s="901"/>
      <c r="H199" s="902"/>
      <c r="I199" s="902"/>
      <c r="J199" s="902"/>
      <c r="K199" s="902"/>
      <c r="L199" s="903"/>
      <c r="N199" s="904"/>
      <c r="O199" s="905"/>
      <c r="P199" s="904"/>
      <c r="Q199" s="905"/>
      <c r="S199" s="906"/>
      <c r="U199" s="906"/>
      <c r="X199" s="906"/>
      <c r="Y199" s="905"/>
      <c r="AA199" s="907"/>
      <c r="AE199" s="908"/>
      <c r="AF199" s="908"/>
      <c r="AG199" s="908"/>
      <c r="AH199" s="908"/>
      <c r="AI199" s="908"/>
      <c r="AJ199" s="908"/>
    </row>
    <row r="200" spans="1:36" s="898" customFormat="1">
      <c r="A200" s="897"/>
      <c r="D200" s="899"/>
      <c r="E200" s="900"/>
      <c r="F200" s="900"/>
      <c r="G200" s="901"/>
      <c r="H200" s="902"/>
      <c r="I200" s="902"/>
      <c r="J200" s="902"/>
      <c r="K200" s="902"/>
      <c r="L200" s="903"/>
      <c r="N200" s="904"/>
      <c r="O200" s="905"/>
      <c r="P200" s="904"/>
      <c r="Q200" s="905"/>
      <c r="S200" s="906"/>
      <c r="U200" s="906"/>
      <c r="X200" s="906"/>
      <c r="Y200" s="905"/>
      <c r="AA200" s="907"/>
      <c r="AE200" s="908"/>
      <c r="AF200" s="908"/>
      <c r="AG200" s="908"/>
      <c r="AH200" s="908"/>
      <c r="AI200" s="908"/>
      <c r="AJ200" s="908"/>
    </row>
    <row r="201" spans="1:36" s="898" customFormat="1">
      <c r="A201" s="897"/>
      <c r="D201" s="899"/>
      <c r="E201" s="900"/>
      <c r="F201" s="900"/>
      <c r="G201" s="901"/>
      <c r="H201" s="902"/>
      <c r="I201" s="902"/>
      <c r="J201" s="902"/>
      <c r="K201" s="902"/>
      <c r="L201" s="903"/>
      <c r="N201" s="904"/>
      <c r="O201" s="905"/>
      <c r="P201" s="904"/>
      <c r="Q201" s="905"/>
      <c r="S201" s="906"/>
      <c r="U201" s="906"/>
      <c r="X201" s="906"/>
      <c r="Y201" s="905"/>
      <c r="AA201" s="907"/>
      <c r="AE201" s="908"/>
      <c r="AF201" s="908"/>
      <c r="AG201" s="908"/>
      <c r="AH201" s="908"/>
      <c r="AI201" s="908"/>
      <c r="AJ201" s="908"/>
    </row>
    <row r="202" spans="1:36" s="898" customFormat="1">
      <c r="A202" s="897"/>
      <c r="D202" s="899"/>
      <c r="E202" s="900"/>
      <c r="F202" s="900"/>
      <c r="G202" s="901"/>
      <c r="H202" s="902"/>
      <c r="I202" s="902"/>
      <c r="J202" s="902"/>
      <c r="K202" s="902"/>
      <c r="L202" s="903"/>
      <c r="N202" s="904"/>
      <c r="O202" s="905"/>
      <c r="P202" s="904"/>
      <c r="Q202" s="905"/>
      <c r="S202" s="906"/>
      <c r="U202" s="906"/>
      <c r="X202" s="906"/>
      <c r="Y202" s="905"/>
      <c r="AA202" s="907"/>
      <c r="AE202" s="908"/>
      <c r="AF202" s="908"/>
      <c r="AG202" s="908"/>
      <c r="AH202" s="908"/>
      <c r="AI202" s="908"/>
      <c r="AJ202" s="908"/>
    </row>
    <row r="203" spans="1:36" s="898" customFormat="1">
      <c r="A203" s="897"/>
      <c r="D203" s="899"/>
      <c r="E203" s="900"/>
      <c r="F203" s="900"/>
      <c r="G203" s="901"/>
      <c r="H203" s="902"/>
      <c r="I203" s="902"/>
      <c r="J203" s="902"/>
      <c r="K203" s="902"/>
      <c r="L203" s="903"/>
      <c r="N203" s="904"/>
      <c r="O203" s="905"/>
      <c r="P203" s="904"/>
      <c r="Q203" s="905"/>
      <c r="S203" s="906"/>
      <c r="U203" s="906"/>
      <c r="X203" s="906"/>
      <c r="Y203" s="905"/>
      <c r="AA203" s="907"/>
      <c r="AE203" s="908"/>
      <c r="AF203" s="908"/>
      <c r="AG203" s="908"/>
      <c r="AH203" s="908"/>
      <c r="AI203" s="908"/>
      <c r="AJ203" s="908"/>
    </row>
    <row r="204" spans="1:36" s="898" customFormat="1">
      <c r="A204" s="897"/>
      <c r="D204" s="899"/>
      <c r="E204" s="900"/>
      <c r="F204" s="900"/>
      <c r="G204" s="901"/>
      <c r="H204" s="902"/>
      <c r="I204" s="902"/>
      <c r="J204" s="902"/>
      <c r="K204" s="902"/>
      <c r="L204" s="903"/>
      <c r="N204" s="904"/>
      <c r="O204" s="905"/>
      <c r="P204" s="904"/>
      <c r="Q204" s="905"/>
      <c r="S204" s="906"/>
      <c r="U204" s="906"/>
      <c r="X204" s="906"/>
      <c r="Y204" s="905"/>
      <c r="AA204" s="907"/>
      <c r="AE204" s="908"/>
      <c r="AF204" s="908"/>
      <c r="AG204" s="908"/>
      <c r="AH204" s="908"/>
      <c r="AI204" s="908"/>
      <c r="AJ204" s="908"/>
    </row>
    <row r="205" spans="1:36" s="898" customFormat="1">
      <c r="A205" s="897"/>
      <c r="D205" s="899"/>
      <c r="E205" s="900"/>
      <c r="F205" s="900"/>
      <c r="G205" s="901"/>
      <c r="H205" s="902"/>
      <c r="I205" s="902"/>
      <c r="J205" s="902"/>
      <c r="K205" s="902"/>
      <c r="L205" s="903"/>
      <c r="N205" s="904"/>
      <c r="O205" s="905"/>
      <c r="P205" s="904"/>
      <c r="Q205" s="905"/>
      <c r="S205" s="906"/>
      <c r="U205" s="906"/>
      <c r="X205" s="906"/>
      <c r="Y205" s="905"/>
      <c r="AA205" s="907"/>
      <c r="AE205" s="908"/>
      <c r="AF205" s="908"/>
      <c r="AG205" s="908"/>
      <c r="AH205" s="908"/>
      <c r="AI205" s="908"/>
      <c r="AJ205" s="908"/>
    </row>
    <row r="206" spans="1:36" s="898" customFormat="1">
      <c r="A206" s="897"/>
      <c r="D206" s="899"/>
      <c r="E206" s="900"/>
      <c r="F206" s="900"/>
      <c r="G206" s="901"/>
      <c r="H206" s="902"/>
      <c r="I206" s="902"/>
      <c r="J206" s="902"/>
      <c r="K206" s="902"/>
      <c r="L206" s="903"/>
      <c r="N206" s="904"/>
      <c r="O206" s="905"/>
      <c r="P206" s="904"/>
      <c r="Q206" s="905"/>
      <c r="S206" s="906"/>
      <c r="U206" s="906"/>
      <c r="X206" s="906"/>
      <c r="Y206" s="905"/>
      <c r="AA206" s="907"/>
      <c r="AE206" s="908"/>
      <c r="AF206" s="908"/>
      <c r="AG206" s="908"/>
      <c r="AH206" s="908"/>
      <c r="AI206" s="908"/>
      <c r="AJ206" s="908"/>
    </row>
    <row r="207" spans="1:36" s="898" customFormat="1">
      <c r="A207" s="897"/>
      <c r="D207" s="899"/>
      <c r="E207" s="900"/>
      <c r="F207" s="900"/>
      <c r="G207" s="901"/>
      <c r="H207" s="902"/>
      <c r="I207" s="902"/>
      <c r="J207" s="902"/>
      <c r="K207" s="902"/>
      <c r="L207" s="903"/>
      <c r="N207" s="904"/>
      <c r="O207" s="905"/>
      <c r="P207" s="904"/>
      <c r="Q207" s="905"/>
      <c r="S207" s="906"/>
      <c r="U207" s="906"/>
      <c r="X207" s="906"/>
      <c r="Y207" s="905"/>
      <c r="AA207" s="907"/>
      <c r="AE207" s="908"/>
      <c r="AF207" s="908"/>
      <c r="AG207" s="908"/>
      <c r="AH207" s="908"/>
      <c r="AI207" s="908"/>
      <c r="AJ207" s="908"/>
    </row>
    <row r="208" spans="1:36" s="898" customFormat="1">
      <c r="A208" s="897"/>
      <c r="D208" s="899"/>
      <c r="E208" s="900"/>
      <c r="F208" s="900"/>
      <c r="G208" s="901"/>
      <c r="H208" s="902"/>
      <c r="I208" s="902"/>
      <c r="J208" s="902"/>
      <c r="K208" s="902"/>
      <c r="L208" s="903"/>
      <c r="N208" s="904"/>
      <c r="O208" s="905"/>
      <c r="P208" s="904"/>
      <c r="Q208" s="905"/>
      <c r="S208" s="906"/>
      <c r="U208" s="906"/>
      <c r="X208" s="906"/>
      <c r="Y208" s="905"/>
      <c r="AA208" s="907"/>
      <c r="AE208" s="908"/>
      <c r="AF208" s="908"/>
      <c r="AG208" s="908"/>
      <c r="AH208" s="908"/>
      <c r="AI208" s="908"/>
      <c r="AJ208" s="908"/>
    </row>
    <row r="209" spans="1:55" s="898" customFormat="1">
      <c r="A209" s="897"/>
      <c r="D209" s="899"/>
      <c r="E209" s="900"/>
      <c r="F209" s="900"/>
      <c r="G209" s="901"/>
      <c r="H209" s="902"/>
      <c r="I209" s="902"/>
      <c r="J209" s="902"/>
      <c r="K209" s="902"/>
      <c r="L209" s="903"/>
      <c r="N209" s="904"/>
      <c r="O209" s="905"/>
      <c r="P209" s="904"/>
      <c r="Q209" s="905"/>
      <c r="S209" s="906"/>
      <c r="U209" s="906"/>
      <c r="X209" s="906"/>
      <c r="Y209" s="905"/>
      <c r="AA209" s="907"/>
      <c r="AE209" s="908"/>
      <c r="AF209" s="908"/>
      <c r="AG209" s="908"/>
      <c r="AH209" s="908"/>
      <c r="AI209" s="908"/>
      <c r="AJ209" s="908"/>
    </row>
    <row r="210" spans="1:55" s="898" customFormat="1">
      <c r="A210" s="897"/>
      <c r="D210" s="899"/>
      <c r="E210" s="900"/>
      <c r="F210" s="900"/>
      <c r="G210" s="901"/>
      <c r="H210" s="902"/>
      <c r="I210" s="902"/>
      <c r="J210" s="902"/>
      <c r="K210" s="902"/>
      <c r="L210" s="903"/>
      <c r="N210" s="904"/>
      <c r="O210" s="905"/>
      <c r="P210" s="904"/>
      <c r="Q210" s="905"/>
      <c r="S210" s="906"/>
      <c r="U210" s="906"/>
      <c r="X210" s="906"/>
      <c r="Y210" s="905"/>
      <c r="AA210" s="907"/>
      <c r="AE210" s="908"/>
      <c r="AF210" s="908"/>
      <c r="AG210" s="908"/>
      <c r="AH210" s="908"/>
      <c r="AI210" s="908"/>
      <c r="AJ210" s="908"/>
    </row>
    <row r="211" spans="1:55" s="898" customFormat="1">
      <c r="A211" s="897"/>
      <c r="D211" s="899"/>
      <c r="E211" s="900"/>
      <c r="F211" s="900"/>
      <c r="G211" s="901"/>
      <c r="H211" s="902"/>
      <c r="I211" s="902"/>
      <c r="J211" s="902"/>
      <c r="K211" s="902"/>
      <c r="L211" s="903"/>
      <c r="N211" s="904"/>
      <c r="O211" s="905"/>
      <c r="P211" s="904"/>
      <c r="Q211" s="905"/>
      <c r="S211" s="906"/>
      <c r="U211" s="906"/>
      <c r="X211" s="906"/>
      <c r="Y211" s="905"/>
      <c r="AA211" s="907"/>
      <c r="AE211" s="908"/>
      <c r="AF211" s="908"/>
      <c r="AG211" s="908"/>
      <c r="AH211" s="908"/>
      <c r="AI211" s="908"/>
      <c r="AJ211" s="908"/>
    </row>
    <row r="212" spans="1:55" s="898" customFormat="1">
      <c r="A212" s="897"/>
      <c r="D212" s="899"/>
      <c r="E212" s="900"/>
      <c r="F212" s="900"/>
      <c r="G212" s="901"/>
      <c r="H212" s="902"/>
      <c r="I212" s="902"/>
      <c r="J212" s="902"/>
      <c r="K212" s="902"/>
      <c r="L212" s="903"/>
      <c r="N212" s="904"/>
      <c r="O212" s="905"/>
      <c r="P212" s="904"/>
      <c r="Q212" s="905"/>
      <c r="S212" s="906"/>
      <c r="U212" s="906"/>
      <c r="X212" s="906"/>
      <c r="Y212" s="905"/>
      <c r="AA212" s="907"/>
      <c r="AE212" s="908"/>
      <c r="AF212" s="908"/>
      <c r="AG212" s="908"/>
      <c r="AH212" s="908"/>
      <c r="AI212" s="908"/>
      <c r="AJ212" s="908"/>
    </row>
    <row r="213" spans="1:55" s="898" customFormat="1">
      <c r="A213" s="897"/>
      <c r="D213" s="899"/>
      <c r="E213" s="900"/>
      <c r="F213" s="900"/>
      <c r="G213" s="901"/>
      <c r="H213" s="902"/>
      <c r="I213" s="902"/>
      <c r="J213" s="902"/>
      <c r="K213" s="902"/>
      <c r="L213" s="903"/>
      <c r="N213" s="904"/>
      <c r="O213" s="905"/>
      <c r="P213" s="904"/>
      <c r="Q213" s="905"/>
      <c r="S213" s="906"/>
      <c r="U213" s="906"/>
      <c r="X213" s="906"/>
      <c r="Y213" s="905"/>
      <c r="AA213" s="907"/>
      <c r="AE213" s="908"/>
      <c r="AF213" s="908"/>
      <c r="AG213" s="908"/>
      <c r="AH213" s="908"/>
      <c r="AI213" s="908"/>
      <c r="AJ213" s="908"/>
    </row>
    <row r="214" spans="1:55" s="898" customFormat="1">
      <c r="A214" s="897"/>
      <c r="D214" s="899"/>
      <c r="E214" s="900"/>
      <c r="F214" s="900"/>
      <c r="G214" s="901"/>
      <c r="H214" s="902"/>
      <c r="I214" s="902"/>
      <c r="J214" s="902"/>
      <c r="K214" s="902"/>
      <c r="L214" s="903"/>
      <c r="N214" s="904"/>
      <c r="O214" s="905"/>
      <c r="P214" s="904"/>
      <c r="Q214" s="905"/>
      <c r="S214" s="906"/>
      <c r="U214" s="906"/>
      <c r="X214" s="906"/>
      <c r="Y214" s="905"/>
      <c r="AA214" s="907"/>
      <c r="AE214" s="908"/>
      <c r="AF214" s="908"/>
      <c r="AG214" s="908"/>
      <c r="AH214" s="908"/>
      <c r="AI214" s="908"/>
      <c r="AJ214" s="908"/>
    </row>
    <row r="215" spans="1:55" s="898" customFormat="1">
      <c r="A215" s="897"/>
      <c r="D215" s="899"/>
      <c r="E215" s="900"/>
      <c r="F215" s="900"/>
      <c r="G215" s="901"/>
      <c r="H215" s="902"/>
      <c r="I215" s="902"/>
      <c r="J215" s="902"/>
      <c r="K215" s="902"/>
      <c r="L215" s="903"/>
      <c r="N215" s="904"/>
      <c r="O215" s="905"/>
      <c r="P215" s="904"/>
      <c r="Q215" s="905"/>
      <c r="S215" s="906"/>
      <c r="U215" s="906"/>
      <c r="X215" s="906"/>
      <c r="Y215" s="905"/>
      <c r="AA215" s="907"/>
      <c r="AE215" s="908"/>
      <c r="AF215" s="908"/>
      <c r="AG215" s="908"/>
      <c r="AH215" s="908"/>
      <c r="AI215" s="908"/>
      <c r="AJ215" s="908"/>
    </row>
    <row r="216" spans="1:55" s="898" customFormat="1">
      <c r="A216" s="897"/>
      <c r="D216" s="899"/>
      <c r="E216" s="900"/>
      <c r="F216" s="900"/>
      <c r="G216" s="901"/>
      <c r="H216" s="902"/>
      <c r="I216" s="902"/>
      <c r="J216" s="902"/>
      <c r="K216" s="902"/>
      <c r="L216" s="903"/>
      <c r="N216" s="904"/>
      <c r="O216" s="905"/>
      <c r="P216" s="904"/>
      <c r="Q216" s="905"/>
      <c r="S216" s="906"/>
      <c r="U216" s="906"/>
      <c r="X216" s="906"/>
      <c r="Y216" s="905"/>
      <c r="AA216" s="907"/>
      <c r="AE216" s="908"/>
      <c r="AF216" s="908"/>
      <c r="AG216" s="908"/>
      <c r="AH216" s="908"/>
      <c r="AI216" s="908"/>
      <c r="AJ216" s="908"/>
    </row>
    <row r="217" spans="1:55" s="898" customFormat="1">
      <c r="A217" s="897"/>
      <c r="D217" s="899"/>
      <c r="E217" s="900"/>
      <c r="F217" s="900"/>
      <c r="G217" s="901"/>
      <c r="H217" s="902"/>
      <c r="I217" s="902"/>
      <c r="J217" s="902"/>
      <c r="K217" s="902"/>
      <c r="L217" s="903"/>
      <c r="N217" s="904"/>
      <c r="O217" s="905"/>
      <c r="P217" s="904"/>
      <c r="Q217" s="905"/>
      <c r="S217" s="906"/>
      <c r="U217" s="906"/>
      <c r="X217" s="906"/>
      <c r="Y217" s="905"/>
      <c r="AA217" s="907"/>
      <c r="AE217" s="908"/>
      <c r="AF217" s="908"/>
      <c r="AG217" s="908"/>
      <c r="AH217" s="908"/>
      <c r="AI217" s="908"/>
      <c r="AJ217" s="908"/>
    </row>
    <row r="218" spans="1:55" s="898" customFormat="1">
      <c r="A218" s="897"/>
      <c r="D218" s="899"/>
      <c r="E218" s="900"/>
      <c r="F218" s="900"/>
      <c r="G218" s="901"/>
      <c r="H218" s="902"/>
      <c r="I218" s="902"/>
      <c r="J218" s="902"/>
      <c r="K218" s="902"/>
      <c r="L218" s="903"/>
      <c r="N218" s="904"/>
      <c r="O218" s="905"/>
      <c r="P218" s="904"/>
      <c r="Q218" s="905"/>
      <c r="S218" s="906"/>
      <c r="U218" s="906"/>
      <c r="X218" s="906"/>
      <c r="Y218" s="905"/>
      <c r="AA218" s="907"/>
      <c r="AE218" s="908"/>
      <c r="AF218" s="908"/>
      <c r="AG218" s="908"/>
      <c r="AH218" s="908"/>
      <c r="AI218" s="908"/>
      <c r="AJ218" s="908"/>
    </row>
    <row r="219" spans="1:55" s="898" customFormat="1">
      <c r="A219" s="897"/>
      <c r="D219" s="899"/>
      <c r="E219" s="900"/>
      <c r="F219" s="900"/>
      <c r="G219" s="901"/>
      <c r="H219" s="902"/>
      <c r="I219" s="902"/>
      <c r="J219" s="902"/>
      <c r="K219" s="902"/>
      <c r="L219" s="903"/>
      <c r="N219" s="904"/>
      <c r="O219" s="905"/>
      <c r="P219" s="904"/>
      <c r="Q219" s="905"/>
      <c r="S219" s="906"/>
      <c r="U219" s="906"/>
      <c r="X219" s="906"/>
      <c r="Y219" s="905"/>
      <c r="AA219" s="907"/>
      <c r="AE219" s="908"/>
      <c r="AF219" s="908"/>
      <c r="AG219" s="908"/>
      <c r="AH219" s="908"/>
      <c r="AI219" s="908"/>
      <c r="AJ219" s="908"/>
      <c r="AR219" s="909"/>
      <c r="AS219" s="908"/>
      <c r="AT219" s="908"/>
      <c r="AU219" s="908"/>
      <c r="AV219" s="908"/>
      <c r="AW219" s="908"/>
      <c r="BA219" s="908"/>
      <c r="BB219" s="908"/>
      <c r="BC219" s="908"/>
    </row>
    <row r="220" spans="1:55" s="898" customFormat="1">
      <c r="A220" s="897"/>
      <c r="D220" s="899"/>
      <c r="E220" s="900"/>
      <c r="F220" s="900"/>
      <c r="G220" s="901"/>
      <c r="H220" s="902"/>
      <c r="I220" s="902"/>
      <c r="J220" s="902"/>
      <c r="K220" s="902"/>
      <c r="L220" s="903"/>
      <c r="N220" s="904"/>
      <c r="O220" s="905"/>
      <c r="P220" s="904"/>
      <c r="Q220" s="905"/>
      <c r="S220" s="906"/>
      <c r="U220" s="906"/>
      <c r="X220" s="906"/>
      <c r="Y220" s="905"/>
      <c r="AA220" s="907"/>
      <c r="AE220" s="908"/>
      <c r="AF220" s="908"/>
      <c r="AG220" s="908"/>
      <c r="AH220" s="908"/>
      <c r="AI220" s="908"/>
      <c r="AJ220" s="908"/>
      <c r="AR220" s="909"/>
      <c r="AS220" s="908"/>
      <c r="AT220" s="908"/>
      <c r="AU220" s="908"/>
      <c r="AV220" s="908"/>
      <c r="AW220" s="908"/>
      <c r="BA220" s="908"/>
      <c r="BB220" s="908"/>
      <c r="BC220" s="908"/>
    </row>
    <row r="221" spans="1:55" s="898" customFormat="1">
      <c r="A221" s="897"/>
      <c r="D221" s="899"/>
      <c r="E221" s="900"/>
      <c r="F221" s="900"/>
      <c r="G221" s="901"/>
      <c r="H221" s="902"/>
      <c r="I221" s="902"/>
      <c r="J221" s="902"/>
      <c r="K221" s="902"/>
      <c r="L221" s="903"/>
      <c r="N221" s="904"/>
      <c r="O221" s="905"/>
      <c r="P221" s="904"/>
      <c r="Q221" s="905"/>
      <c r="S221" s="906"/>
      <c r="U221" s="906"/>
      <c r="X221" s="906"/>
      <c r="Y221" s="905"/>
      <c r="AA221" s="907"/>
      <c r="AE221" s="908"/>
      <c r="AF221" s="908"/>
      <c r="AG221" s="908"/>
      <c r="AH221" s="908"/>
      <c r="AI221" s="908"/>
      <c r="AJ221" s="908"/>
      <c r="AR221" s="909"/>
      <c r="AS221" s="908"/>
      <c r="AT221" s="908"/>
      <c r="AU221" s="908"/>
      <c r="AV221" s="908"/>
      <c r="AW221" s="908"/>
      <c r="BA221" s="908"/>
      <c r="BB221" s="908"/>
      <c r="BC221" s="908"/>
    </row>
    <row r="222" spans="1:55" s="898" customFormat="1">
      <c r="A222" s="897"/>
      <c r="D222" s="899"/>
      <c r="E222" s="900"/>
      <c r="F222" s="900"/>
      <c r="G222" s="901"/>
      <c r="H222" s="902"/>
      <c r="I222" s="902"/>
      <c r="J222" s="902"/>
      <c r="K222" s="902"/>
      <c r="L222" s="903"/>
      <c r="N222" s="904"/>
      <c r="O222" s="905"/>
      <c r="P222" s="904"/>
      <c r="Q222" s="905"/>
      <c r="S222" s="906"/>
      <c r="U222" s="906"/>
      <c r="X222" s="906"/>
      <c r="Y222" s="905"/>
      <c r="AA222" s="907"/>
      <c r="AE222" s="908"/>
      <c r="AF222" s="908"/>
      <c r="AG222" s="908"/>
      <c r="AH222" s="908"/>
      <c r="AI222" s="908"/>
      <c r="AJ222" s="908"/>
      <c r="AR222" s="909"/>
      <c r="AS222" s="908"/>
      <c r="AT222" s="908"/>
      <c r="AU222" s="908"/>
      <c r="AV222" s="908"/>
      <c r="AW222" s="908"/>
      <c r="BA222" s="908"/>
      <c r="BB222" s="908"/>
      <c r="BC222" s="908"/>
    </row>
    <row r="223" spans="1:55" s="898" customFormat="1">
      <c r="A223" s="897"/>
      <c r="D223" s="899"/>
      <c r="E223" s="900"/>
      <c r="F223" s="900"/>
      <c r="G223" s="901"/>
      <c r="H223" s="902"/>
      <c r="I223" s="902"/>
      <c r="J223" s="902"/>
      <c r="K223" s="902"/>
      <c r="L223" s="903"/>
      <c r="N223" s="904"/>
      <c r="O223" s="905"/>
      <c r="P223" s="904"/>
      <c r="Q223" s="905"/>
      <c r="S223" s="906"/>
      <c r="U223" s="906"/>
      <c r="X223" s="906"/>
      <c r="Y223" s="905"/>
      <c r="AA223" s="907"/>
      <c r="AE223" s="908"/>
      <c r="AF223" s="908"/>
      <c r="AG223" s="908"/>
      <c r="AH223" s="908"/>
      <c r="AI223" s="908"/>
      <c r="AJ223" s="908"/>
      <c r="AR223" s="909"/>
      <c r="AS223" s="908"/>
      <c r="AT223" s="908"/>
      <c r="AU223" s="908"/>
      <c r="AV223" s="908"/>
      <c r="AW223" s="908"/>
      <c r="BA223" s="908"/>
      <c r="BB223" s="908"/>
      <c r="BC223" s="908"/>
    </row>
    <row r="224" spans="1:55" s="898" customFormat="1">
      <c r="A224" s="897"/>
      <c r="D224" s="899"/>
      <c r="E224" s="900"/>
      <c r="F224" s="900"/>
      <c r="G224" s="901"/>
      <c r="H224" s="902"/>
      <c r="I224" s="902"/>
      <c r="J224" s="902"/>
      <c r="K224" s="902"/>
      <c r="L224" s="903"/>
      <c r="N224" s="904"/>
      <c r="O224" s="905"/>
      <c r="P224" s="904"/>
      <c r="Q224" s="905"/>
      <c r="S224" s="906"/>
      <c r="U224" s="906"/>
      <c r="X224" s="906"/>
      <c r="Y224" s="905"/>
      <c r="AA224" s="907"/>
      <c r="AE224" s="908"/>
      <c r="AF224" s="908"/>
      <c r="AG224" s="908"/>
      <c r="AH224" s="908"/>
      <c r="AI224" s="908"/>
      <c r="AJ224" s="908"/>
      <c r="AR224" s="909"/>
      <c r="AS224" s="908"/>
      <c r="AT224" s="908"/>
      <c r="AU224" s="908"/>
      <c r="AV224" s="908"/>
      <c r="AW224" s="908"/>
      <c r="BA224" s="908"/>
      <c r="BB224" s="908"/>
      <c r="BC224" s="908"/>
    </row>
    <row r="225" spans="1:145" s="898" customFormat="1">
      <c r="A225" s="897"/>
      <c r="D225" s="899"/>
      <c r="E225" s="900"/>
      <c r="F225" s="900"/>
      <c r="G225" s="901"/>
      <c r="H225" s="902"/>
      <c r="I225" s="902"/>
      <c r="J225" s="902"/>
      <c r="K225" s="902"/>
      <c r="L225" s="903"/>
      <c r="N225" s="904"/>
      <c r="O225" s="905"/>
      <c r="P225" s="904"/>
      <c r="Q225" s="905"/>
      <c r="S225" s="906"/>
      <c r="U225" s="906"/>
      <c r="X225" s="906"/>
      <c r="Y225" s="905"/>
      <c r="AA225" s="907"/>
      <c r="AE225" s="908"/>
      <c r="AF225" s="908"/>
      <c r="AG225" s="908"/>
      <c r="AH225" s="908"/>
      <c r="AI225" s="908"/>
      <c r="AJ225" s="908"/>
      <c r="AR225" s="909"/>
      <c r="AS225" s="908"/>
      <c r="AT225" s="908"/>
      <c r="AU225" s="908"/>
      <c r="AV225" s="908"/>
      <c r="AW225" s="908"/>
      <c r="BA225" s="908"/>
      <c r="BB225" s="908"/>
      <c r="BC225" s="908"/>
    </row>
    <row r="226" spans="1:145" s="898" customFormat="1">
      <c r="A226" s="897"/>
      <c r="D226" s="899"/>
      <c r="E226" s="900"/>
      <c r="F226" s="900"/>
      <c r="G226" s="901"/>
      <c r="H226" s="902"/>
      <c r="I226" s="902"/>
      <c r="J226" s="902"/>
      <c r="K226" s="902"/>
      <c r="L226" s="903"/>
      <c r="N226" s="904"/>
      <c r="O226" s="905"/>
      <c r="P226" s="904"/>
      <c r="Q226" s="905"/>
      <c r="S226" s="906"/>
      <c r="U226" s="906"/>
      <c r="X226" s="906"/>
      <c r="Y226" s="905"/>
      <c r="AA226" s="907"/>
      <c r="AE226" s="908"/>
      <c r="AF226" s="908"/>
      <c r="AG226" s="908"/>
      <c r="AH226" s="908"/>
      <c r="AI226" s="908"/>
      <c r="AJ226" s="908"/>
      <c r="AR226" s="909"/>
      <c r="AS226" s="908"/>
      <c r="AT226" s="908"/>
      <c r="AU226" s="908"/>
      <c r="AV226" s="908"/>
      <c r="AW226" s="908"/>
      <c r="BA226" s="908"/>
      <c r="BB226" s="908"/>
      <c r="BC226" s="908"/>
    </row>
    <row r="227" spans="1:145" s="898" customFormat="1">
      <c r="A227" s="897"/>
      <c r="D227" s="899"/>
      <c r="E227" s="900"/>
      <c r="F227" s="900"/>
      <c r="G227" s="901"/>
      <c r="H227" s="902"/>
      <c r="I227" s="902"/>
      <c r="J227" s="902"/>
      <c r="K227" s="902"/>
      <c r="L227" s="903"/>
      <c r="N227" s="904"/>
      <c r="O227" s="905"/>
      <c r="P227" s="904"/>
      <c r="Q227" s="905"/>
      <c r="S227" s="906"/>
      <c r="U227" s="906"/>
      <c r="X227" s="906"/>
      <c r="Y227" s="905"/>
      <c r="AA227" s="907"/>
      <c r="AE227" s="908"/>
      <c r="AF227" s="908"/>
      <c r="AG227" s="908"/>
      <c r="AH227" s="908"/>
      <c r="AI227" s="908"/>
      <c r="AJ227" s="908"/>
      <c r="AR227" s="909"/>
      <c r="AS227" s="908"/>
      <c r="AT227" s="908"/>
      <c r="AU227" s="908"/>
      <c r="AV227" s="908"/>
      <c r="AW227" s="908"/>
      <c r="BA227" s="908"/>
      <c r="BB227" s="908"/>
      <c r="BC227" s="908"/>
    </row>
    <row r="228" spans="1:145" s="898" customFormat="1">
      <c r="A228" s="897"/>
      <c r="D228" s="899"/>
      <c r="E228" s="900"/>
      <c r="F228" s="900"/>
      <c r="G228" s="901"/>
      <c r="H228" s="902"/>
      <c r="I228" s="902"/>
      <c r="J228" s="902"/>
      <c r="K228" s="902"/>
      <c r="L228" s="903"/>
      <c r="N228" s="904"/>
      <c r="O228" s="905"/>
      <c r="P228" s="904"/>
      <c r="Q228" s="905"/>
      <c r="S228" s="906"/>
      <c r="U228" s="906"/>
      <c r="X228" s="906"/>
      <c r="Y228" s="905"/>
      <c r="AA228" s="907"/>
      <c r="AE228" s="908"/>
      <c r="AF228" s="908"/>
      <c r="AG228" s="908"/>
      <c r="AH228" s="908"/>
      <c r="AI228" s="908"/>
      <c r="AJ228" s="908"/>
      <c r="AR228" s="909"/>
      <c r="AS228" s="908"/>
      <c r="AT228" s="908"/>
      <c r="AU228" s="908"/>
      <c r="AV228" s="908"/>
      <c r="AW228" s="908"/>
      <c r="BA228" s="908"/>
      <c r="BB228" s="908"/>
      <c r="BC228" s="908"/>
    </row>
    <row r="229" spans="1:145" s="287" customFormat="1">
      <c r="A229" s="283"/>
      <c r="D229" s="283"/>
      <c r="E229" s="294"/>
      <c r="F229" s="294"/>
      <c r="G229" s="295"/>
      <c r="H229" s="296"/>
      <c r="I229" s="296"/>
      <c r="J229" s="296"/>
      <c r="K229" s="296"/>
      <c r="L229" s="605"/>
      <c r="N229" s="297"/>
      <c r="O229" s="285"/>
      <c r="P229" s="297"/>
      <c r="Q229" s="285"/>
      <c r="S229" s="292"/>
      <c r="U229" s="292"/>
      <c r="X229" s="292"/>
      <c r="Y229" s="285"/>
      <c r="AA229" s="293"/>
      <c r="AE229" s="613"/>
      <c r="AF229" s="613"/>
      <c r="AG229" s="613"/>
      <c r="AH229" s="613"/>
      <c r="AI229" s="613"/>
      <c r="AJ229" s="613"/>
      <c r="AR229" s="846"/>
      <c r="AS229" s="613"/>
      <c r="AT229" s="613"/>
      <c r="AU229" s="613"/>
      <c r="AV229" s="613"/>
      <c r="AW229" s="613"/>
      <c r="BA229" s="613"/>
      <c r="BB229" s="613"/>
      <c r="BC229" s="613"/>
      <c r="EN229" s="9"/>
      <c r="EO229" s="9"/>
    </row>
    <row r="230" spans="1:145" s="287" customFormat="1">
      <c r="A230" s="283"/>
      <c r="D230" s="283"/>
      <c r="E230" s="294"/>
      <c r="F230" s="294"/>
      <c r="G230" s="295"/>
      <c r="H230" s="296"/>
      <c r="I230" s="296"/>
      <c r="J230" s="296"/>
      <c r="K230" s="296"/>
      <c r="L230" s="605"/>
      <c r="N230" s="297"/>
      <c r="O230" s="285"/>
      <c r="P230" s="297"/>
      <c r="Q230" s="285"/>
      <c r="S230" s="292"/>
      <c r="U230" s="292"/>
      <c r="X230" s="292"/>
      <c r="Y230" s="285"/>
      <c r="AA230" s="293"/>
      <c r="AE230" s="613"/>
      <c r="AF230" s="613"/>
      <c r="AG230" s="613"/>
      <c r="AH230" s="613"/>
      <c r="AI230" s="613"/>
      <c r="AJ230" s="613"/>
      <c r="AR230" s="846"/>
      <c r="AS230" s="613"/>
      <c r="AT230" s="613"/>
      <c r="AU230" s="613"/>
      <c r="AV230" s="613"/>
      <c r="AW230" s="613"/>
      <c r="BA230" s="613"/>
      <c r="BB230" s="613"/>
      <c r="BC230" s="613"/>
      <c r="EN230" s="9"/>
      <c r="EO230" s="9"/>
    </row>
    <row r="231" spans="1:145" s="287" customFormat="1">
      <c r="A231" s="283"/>
      <c r="D231" s="283"/>
      <c r="E231" s="294"/>
      <c r="F231" s="294"/>
      <c r="G231" s="295"/>
      <c r="H231" s="296"/>
      <c r="I231" s="296"/>
      <c r="J231" s="296"/>
      <c r="K231" s="296"/>
      <c r="L231" s="605"/>
      <c r="N231" s="297"/>
      <c r="O231" s="285"/>
      <c r="P231" s="297"/>
      <c r="Q231" s="285"/>
      <c r="S231" s="292"/>
      <c r="U231" s="292"/>
      <c r="X231" s="292"/>
      <c r="Y231" s="285"/>
      <c r="AA231" s="293"/>
      <c r="AE231" s="613"/>
      <c r="AF231" s="613"/>
      <c r="AG231" s="613"/>
      <c r="AH231" s="613"/>
      <c r="AI231" s="613"/>
      <c r="AJ231" s="613"/>
      <c r="AR231" s="846"/>
      <c r="AS231" s="613"/>
      <c r="AT231" s="613"/>
      <c r="AU231" s="613"/>
      <c r="AV231" s="613"/>
      <c r="AW231" s="613"/>
      <c r="BA231" s="613"/>
      <c r="BB231" s="613"/>
      <c r="BC231" s="613"/>
      <c r="EN231" s="9"/>
      <c r="EO231" s="9"/>
    </row>
    <row r="232" spans="1:145" s="287" customFormat="1">
      <c r="A232" s="283"/>
      <c r="D232" s="283"/>
      <c r="E232" s="294"/>
      <c r="F232" s="294"/>
      <c r="G232" s="295"/>
      <c r="H232" s="296"/>
      <c r="I232" s="296"/>
      <c r="J232" s="296"/>
      <c r="K232" s="296"/>
      <c r="L232" s="605"/>
      <c r="N232" s="297"/>
      <c r="O232" s="285"/>
      <c r="P232" s="297"/>
      <c r="Q232" s="285"/>
      <c r="S232" s="292"/>
      <c r="U232" s="292"/>
      <c r="X232" s="292"/>
      <c r="Y232" s="285"/>
      <c r="AA232" s="293"/>
      <c r="AE232" s="613"/>
      <c r="AF232" s="613"/>
      <c r="AG232" s="613"/>
      <c r="AH232" s="613"/>
      <c r="AI232" s="613"/>
      <c r="AJ232" s="613"/>
      <c r="AR232" s="846"/>
      <c r="AS232" s="613"/>
      <c r="AT232" s="613"/>
      <c r="AU232" s="613"/>
      <c r="AV232" s="613"/>
      <c r="AW232" s="613"/>
      <c r="BA232" s="613"/>
      <c r="BB232" s="613"/>
      <c r="BC232" s="613"/>
      <c r="EN232" s="9"/>
      <c r="EO232" s="9"/>
    </row>
    <row r="233" spans="1:145" s="287" customFormat="1">
      <c r="A233" s="283"/>
      <c r="D233" s="283"/>
      <c r="E233" s="294"/>
      <c r="F233" s="294"/>
      <c r="G233" s="295"/>
      <c r="H233" s="296"/>
      <c r="I233" s="296"/>
      <c r="J233" s="296"/>
      <c r="K233" s="296"/>
      <c r="L233" s="605"/>
      <c r="N233" s="297"/>
      <c r="O233" s="285"/>
      <c r="P233" s="297"/>
      <c r="Q233" s="285"/>
      <c r="S233" s="292"/>
      <c r="U233" s="292"/>
      <c r="X233" s="292"/>
      <c r="Y233" s="285"/>
      <c r="AA233" s="293"/>
      <c r="AE233" s="613"/>
      <c r="AF233" s="613"/>
      <c r="AG233" s="613"/>
      <c r="AH233" s="613"/>
      <c r="AI233" s="613"/>
      <c r="AJ233" s="613"/>
      <c r="AR233" s="846"/>
      <c r="AS233" s="613"/>
      <c r="AT233" s="613"/>
      <c r="AU233" s="613"/>
      <c r="AV233" s="613"/>
      <c r="AW233" s="613"/>
      <c r="BA233" s="613"/>
      <c r="BB233" s="613"/>
      <c r="BC233" s="613"/>
      <c r="EN233" s="9"/>
      <c r="EO233" s="9"/>
    </row>
    <row r="234" spans="1:145" s="287" customFormat="1">
      <c r="A234" s="283"/>
      <c r="D234" s="283"/>
      <c r="E234" s="294"/>
      <c r="F234" s="294"/>
      <c r="G234" s="295"/>
      <c r="H234" s="296"/>
      <c r="I234" s="296"/>
      <c r="J234" s="296"/>
      <c r="K234" s="296"/>
      <c r="L234" s="605"/>
      <c r="N234" s="297"/>
      <c r="O234" s="285"/>
      <c r="P234" s="297"/>
      <c r="Q234" s="285"/>
      <c r="S234" s="292"/>
      <c r="U234" s="292"/>
      <c r="X234" s="292"/>
      <c r="Y234" s="285"/>
      <c r="AA234" s="293"/>
      <c r="AE234" s="613"/>
      <c r="AF234" s="613"/>
      <c r="AG234" s="613"/>
      <c r="AH234" s="613"/>
      <c r="AI234" s="613"/>
      <c r="AJ234" s="613"/>
      <c r="AR234" s="846"/>
      <c r="AS234" s="613"/>
      <c r="AT234" s="613"/>
      <c r="AU234" s="613"/>
      <c r="AV234" s="613"/>
      <c r="AW234" s="613"/>
      <c r="BA234" s="613"/>
      <c r="BB234" s="613"/>
      <c r="BC234" s="613"/>
      <c r="EN234" s="9"/>
      <c r="EO234" s="9"/>
    </row>
    <row r="235" spans="1:145" s="287" customFormat="1">
      <c r="A235" s="283"/>
      <c r="D235" s="283"/>
      <c r="E235" s="294"/>
      <c r="F235" s="294"/>
      <c r="G235" s="295"/>
      <c r="H235" s="296"/>
      <c r="I235" s="296"/>
      <c r="J235" s="296"/>
      <c r="K235" s="296"/>
      <c r="L235" s="605"/>
      <c r="N235" s="297"/>
      <c r="O235" s="285"/>
      <c r="P235" s="297"/>
      <c r="Q235" s="285"/>
      <c r="S235" s="292"/>
      <c r="U235" s="292"/>
      <c r="X235" s="292"/>
      <c r="Y235" s="285"/>
      <c r="AA235" s="293"/>
      <c r="AE235" s="613"/>
      <c r="AF235" s="613"/>
      <c r="AG235" s="613"/>
      <c r="AH235" s="613"/>
      <c r="AI235" s="613"/>
      <c r="AJ235" s="613"/>
      <c r="AR235" s="846"/>
      <c r="AS235" s="613"/>
      <c r="AT235" s="613"/>
      <c r="AU235" s="613"/>
      <c r="AV235" s="613"/>
      <c r="AW235" s="613"/>
      <c r="BA235" s="613"/>
      <c r="BB235" s="613"/>
      <c r="BC235" s="613"/>
      <c r="EN235" s="9"/>
      <c r="EO235" s="9"/>
    </row>
    <row r="236" spans="1:145" s="287" customFormat="1">
      <c r="A236" s="283"/>
      <c r="D236" s="283"/>
      <c r="E236" s="294"/>
      <c r="F236" s="294"/>
      <c r="G236" s="295"/>
      <c r="H236" s="296"/>
      <c r="I236" s="296"/>
      <c r="J236" s="296"/>
      <c r="K236" s="296"/>
      <c r="L236" s="605"/>
      <c r="N236" s="297"/>
      <c r="O236" s="285"/>
      <c r="P236" s="297"/>
      <c r="Q236" s="285"/>
      <c r="S236" s="292"/>
      <c r="U236" s="292"/>
      <c r="X236" s="292"/>
      <c r="Y236" s="285"/>
      <c r="AA236" s="293"/>
      <c r="AE236" s="613"/>
      <c r="AF236" s="613"/>
      <c r="AG236" s="613"/>
      <c r="AH236" s="613"/>
      <c r="AI236" s="613"/>
      <c r="AJ236" s="613"/>
      <c r="AR236" s="846"/>
      <c r="AS236" s="613"/>
      <c r="AT236" s="613"/>
      <c r="AU236" s="613"/>
      <c r="AV236" s="613"/>
      <c r="AW236" s="613"/>
      <c r="BA236" s="613"/>
      <c r="BB236" s="613"/>
      <c r="BC236" s="613"/>
      <c r="EN236" s="9"/>
      <c r="EO236" s="9"/>
    </row>
    <row r="237" spans="1:145" s="287" customFormat="1">
      <c r="A237" s="283"/>
      <c r="D237" s="283"/>
      <c r="E237" s="294"/>
      <c r="F237" s="294"/>
      <c r="G237" s="295"/>
      <c r="H237" s="296"/>
      <c r="I237" s="296"/>
      <c r="J237" s="296"/>
      <c r="K237" s="296"/>
      <c r="L237" s="605"/>
      <c r="N237" s="297"/>
      <c r="O237" s="285"/>
      <c r="P237" s="297"/>
      <c r="Q237" s="285"/>
      <c r="S237" s="292"/>
      <c r="U237" s="292"/>
      <c r="X237" s="292"/>
      <c r="Y237" s="285"/>
      <c r="AA237" s="293"/>
      <c r="AE237" s="613"/>
      <c r="AF237" s="613"/>
      <c r="AG237" s="613"/>
      <c r="AH237" s="613"/>
      <c r="AI237" s="613"/>
      <c r="AJ237" s="613"/>
      <c r="AR237" s="846"/>
      <c r="AS237" s="613"/>
      <c r="AT237" s="613"/>
      <c r="AU237" s="613"/>
      <c r="AV237" s="613"/>
      <c r="AW237" s="613"/>
      <c r="BA237" s="613"/>
      <c r="BB237" s="613"/>
      <c r="BC237" s="613"/>
      <c r="EN237" s="9"/>
      <c r="EO237" s="9"/>
    </row>
    <row r="238" spans="1:145" s="287" customFormat="1">
      <c r="A238" s="283"/>
      <c r="D238" s="283"/>
      <c r="E238" s="294"/>
      <c r="F238" s="294"/>
      <c r="G238" s="295"/>
      <c r="H238" s="296"/>
      <c r="I238" s="296"/>
      <c r="J238" s="296"/>
      <c r="K238" s="296"/>
      <c r="L238" s="605"/>
      <c r="N238" s="297"/>
      <c r="O238" s="285"/>
      <c r="P238" s="297"/>
      <c r="Q238" s="285"/>
      <c r="S238" s="292"/>
      <c r="U238" s="292"/>
      <c r="X238" s="292"/>
      <c r="Y238" s="285"/>
      <c r="AA238" s="293"/>
      <c r="AE238" s="613"/>
      <c r="AF238" s="613"/>
      <c r="AG238" s="613"/>
      <c r="AH238" s="613"/>
      <c r="AI238" s="613"/>
      <c r="AJ238" s="613"/>
      <c r="AR238" s="846"/>
      <c r="AS238" s="613"/>
      <c r="AT238" s="613"/>
      <c r="AU238" s="613"/>
      <c r="AV238" s="613"/>
      <c r="AW238" s="613"/>
      <c r="BA238" s="613"/>
      <c r="BB238" s="613"/>
      <c r="BC238" s="613"/>
      <c r="EN238" s="9"/>
      <c r="EO238" s="9"/>
    </row>
    <row r="239" spans="1:145" s="287" customFormat="1">
      <c r="A239" s="283"/>
      <c r="D239" s="283"/>
      <c r="E239" s="294"/>
      <c r="F239" s="294"/>
      <c r="G239" s="295"/>
      <c r="H239" s="296"/>
      <c r="I239" s="296"/>
      <c r="J239" s="296"/>
      <c r="K239" s="296"/>
      <c r="L239" s="605"/>
      <c r="N239" s="297"/>
      <c r="O239" s="285"/>
      <c r="P239" s="297"/>
      <c r="Q239" s="285"/>
      <c r="S239" s="292"/>
      <c r="U239" s="292"/>
      <c r="X239" s="292"/>
      <c r="Y239" s="285"/>
      <c r="AA239" s="293"/>
      <c r="AE239" s="613"/>
      <c r="AF239" s="613"/>
      <c r="AG239" s="613"/>
      <c r="AH239" s="613"/>
      <c r="AI239" s="613"/>
      <c r="AJ239" s="613"/>
      <c r="AR239" s="846"/>
      <c r="AS239" s="613"/>
      <c r="AT239" s="613"/>
      <c r="AU239" s="613"/>
      <c r="AV239" s="613"/>
      <c r="AW239" s="613"/>
      <c r="BA239" s="613"/>
      <c r="BB239" s="613"/>
      <c r="BC239" s="613"/>
      <c r="EN239" s="9"/>
      <c r="EO239" s="9"/>
    </row>
    <row r="240" spans="1:145" s="287" customFormat="1">
      <c r="A240" s="283"/>
      <c r="D240" s="283"/>
      <c r="E240" s="294"/>
      <c r="F240" s="294"/>
      <c r="G240" s="295"/>
      <c r="H240" s="296"/>
      <c r="I240" s="296"/>
      <c r="J240" s="296"/>
      <c r="K240" s="296"/>
      <c r="L240" s="605"/>
      <c r="N240" s="297"/>
      <c r="O240" s="285"/>
      <c r="P240" s="297"/>
      <c r="Q240" s="285"/>
      <c r="S240" s="292"/>
      <c r="U240" s="292"/>
      <c r="X240" s="292"/>
      <c r="Y240" s="285"/>
      <c r="AA240" s="293"/>
      <c r="AE240" s="613"/>
      <c r="AF240" s="613"/>
      <c r="AG240" s="613"/>
      <c r="AH240" s="613"/>
      <c r="AI240" s="613"/>
      <c r="AJ240" s="613"/>
      <c r="AR240" s="846"/>
      <c r="AS240" s="613"/>
      <c r="AT240" s="613"/>
      <c r="AU240" s="613"/>
      <c r="AV240" s="613"/>
      <c r="AW240" s="613"/>
      <c r="BA240" s="613"/>
      <c r="BB240" s="613"/>
      <c r="BC240" s="613"/>
    </row>
    <row r="241" spans="1:145" s="287" customFormat="1">
      <c r="A241" s="283"/>
      <c r="D241" s="283"/>
      <c r="E241" s="294"/>
      <c r="F241" s="294"/>
      <c r="G241" s="295"/>
      <c r="H241" s="296"/>
      <c r="I241" s="296"/>
      <c r="J241" s="296"/>
      <c r="K241" s="296"/>
      <c r="L241" s="605"/>
      <c r="N241" s="297"/>
      <c r="O241" s="285"/>
      <c r="P241" s="297"/>
      <c r="Q241" s="285"/>
      <c r="S241" s="292"/>
      <c r="U241" s="292"/>
      <c r="X241" s="292"/>
      <c r="Y241" s="285"/>
      <c r="AA241" s="293"/>
      <c r="AE241" s="613"/>
      <c r="AF241" s="613"/>
      <c r="AG241" s="613"/>
      <c r="AH241" s="613"/>
      <c r="AI241" s="613"/>
      <c r="AJ241" s="613"/>
      <c r="AR241" s="846"/>
      <c r="AS241" s="613"/>
      <c r="AT241" s="613"/>
      <c r="AU241" s="613"/>
      <c r="AV241" s="613"/>
      <c r="AW241" s="613"/>
      <c r="BA241" s="613"/>
      <c r="BB241" s="613"/>
      <c r="BC241" s="613"/>
    </row>
    <row r="242" spans="1:145" s="287" customFormat="1">
      <c r="A242" s="283"/>
      <c r="D242" s="283"/>
      <c r="E242" s="294"/>
      <c r="F242" s="294"/>
      <c r="G242" s="295"/>
      <c r="H242" s="296"/>
      <c r="I242" s="296"/>
      <c r="J242" s="296"/>
      <c r="K242" s="296"/>
      <c r="L242" s="605"/>
      <c r="N242" s="297"/>
      <c r="O242" s="285"/>
      <c r="P242" s="297"/>
      <c r="Q242" s="285"/>
      <c r="S242" s="292"/>
      <c r="U242" s="292"/>
      <c r="X242" s="292"/>
      <c r="Y242" s="285"/>
      <c r="AA242" s="293"/>
      <c r="AE242" s="613"/>
      <c r="AF242" s="613"/>
      <c r="AG242" s="613"/>
      <c r="AH242" s="613"/>
      <c r="AI242" s="613"/>
      <c r="AJ242" s="613"/>
      <c r="AR242" s="846"/>
      <c r="AS242" s="613"/>
      <c r="AT242" s="613"/>
      <c r="AU242" s="613"/>
      <c r="AV242" s="613"/>
      <c r="AW242" s="613"/>
      <c r="BA242" s="613"/>
      <c r="BB242" s="613"/>
      <c r="BC242" s="613"/>
    </row>
    <row r="243" spans="1:145" s="287" customFormat="1">
      <c r="A243" s="283"/>
      <c r="D243" s="283"/>
      <c r="E243" s="294"/>
      <c r="F243" s="294"/>
      <c r="G243" s="295"/>
      <c r="H243" s="296"/>
      <c r="I243" s="296"/>
      <c r="J243" s="296"/>
      <c r="K243" s="296"/>
      <c r="L243" s="605"/>
      <c r="N243" s="297"/>
      <c r="O243" s="285"/>
      <c r="P243" s="297"/>
      <c r="Q243" s="285"/>
      <c r="S243" s="292"/>
      <c r="U243" s="292"/>
      <c r="X243" s="292"/>
      <c r="Y243" s="285"/>
      <c r="AA243" s="293"/>
      <c r="AE243" s="613"/>
      <c r="AF243" s="613"/>
      <c r="AG243" s="613"/>
      <c r="AH243" s="613"/>
      <c r="AI243" s="613"/>
      <c r="AJ243" s="613"/>
      <c r="AR243" s="846"/>
      <c r="AS243" s="613"/>
      <c r="AT243" s="613"/>
      <c r="AU243" s="613"/>
      <c r="AV243" s="613"/>
      <c r="AW243" s="613"/>
      <c r="BA243" s="613"/>
      <c r="BB243" s="613"/>
      <c r="BC243" s="613"/>
    </row>
    <row r="244" spans="1:145" s="287" customFormat="1">
      <c r="A244" s="283"/>
      <c r="D244" s="283"/>
      <c r="E244" s="294"/>
      <c r="F244" s="294"/>
      <c r="G244" s="295"/>
      <c r="H244" s="296"/>
      <c r="I244" s="296"/>
      <c r="J244" s="296"/>
      <c r="K244" s="296"/>
      <c r="L244" s="605"/>
      <c r="N244" s="297"/>
      <c r="O244" s="285"/>
      <c r="P244" s="297"/>
      <c r="Q244" s="285"/>
      <c r="S244" s="292"/>
      <c r="U244" s="292"/>
      <c r="X244" s="292"/>
      <c r="Y244" s="285"/>
      <c r="AA244" s="293"/>
      <c r="AE244" s="613"/>
      <c r="AF244" s="613"/>
      <c r="AG244" s="613"/>
      <c r="AH244" s="613"/>
      <c r="AI244" s="613"/>
      <c r="AJ244" s="613"/>
      <c r="AR244" s="846"/>
      <c r="AS244" s="613"/>
      <c r="AT244" s="613"/>
      <c r="AU244" s="613"/>
      <c r="AV244" s="613"/>
      <c r="AW244" s="613"/>
      <c r="BA244" s="613"/>
      <c r="BB244" s="613"/>
      <c r="BC244" s="613"/>
    </row>
    <row r="245" spans="1:145" s="287" customFormat="1">
      <c r="A245" s="283"/>
      <c r="D245" s="283"/>
      <c r="E245" s="294"/>
      <c r="F245" s="294"/>
      <c r="G245" s="295"/>
      <c r="H245" s="296"/>
      <c r="I245" s="296"/>
      <c r="J245" s="296"/>
      <c r="K245" s="296"/>
      <c r="L245" s="605"/>
      <c r="N245" s="297"/>
      <c r="O245" s="285"/>
      <c r="P245" s="297"/>
      <c r="Q245" s="285"/>
      <c r="S245" s="292"/>
      <c r="U245" s="292"/>
      <c r="X245" s="292"/>
      <c r="Y245" s="285"/>
      <c r="AA245" s="293"/>
      <c r="AE245" s="613"/>
      <c r="AF245" s="613"/>
      <c r="AG245" s="613"/>
      <c r="AH245" s="613"/>
      <c r="AI245" s="613"/>
      <c r="AJ245" s="613"/>
      <c r="AR245" s="846"/>
      <c r="AS245" s="613"/>
      <c r="AT245" s="613"/>
      <c r="AU245" s="613"/>
      <c r="AV245" s="613"/>
      <c r="AW245" s="613"/>
      <c r="BA245" s="613"/>
      <c r="BB245" s="613"/>
      <c r="BC245" s="613"/>
    </row>
    <row r="246" spans="1:145" s="287" customFormat="1">
      <c r="A246" s="283"/>
      <c r="D246" s="283"/>
      <c r="E246" s="294"/>
      <c r="F246" s="294"/>
      <c r="G246" s="295"/>
      <c r="H246" s="296"/>
      <c r="I246" s="296"/>
      <c r="J246" s="296"/>
      <c r="K246" s="296"/>
      <c r="L246" s="605"/>
      <c r="N246" s="297"/>
      <c r="O246" s="285"/>
      <c r="P246" s="297"/>
      <c r="Q246" s="285"/>
      <c r="S246" s="292"/>
      <c r="U246" s="292"/>
      <c r="X246" s="292"/>
      <c r="Y246" s="285"/>
      <c r="AA246" s="293"/>
      <c r="AE246" s="613"/>
      <c r="AF246" s="613"/>
      <c r="AG246" s="613"/>
      <c r="AH246" s="613"/>
      <c r="AI246" s="613"/>
      <c r="AJ246" s="613"/>
      <c r="AR246" s="846"/>
      <c r="AS246" s="613"/>
      <c r="AT246" s="613"/>
      <c r="AU246" s="613"/>
      <c r="AV246" s="613"/>
      <c r="AW246" s="613"/>
      <c r="BA246" s="613"/>
      <c r="BB246" s="613"/>
      <c r="BC246" s="613"/>
    </row>
    <row r="247" spans="1:145" s="287" customFormat="1">
      <c r="A247" s="283"/>
      <c r="D247" s="283"/>
      <c r="E247" s="294"/>
      <c r="F247" s="294"/>
      <c r="G247" s="295"/>
      <c r="H247" s="296"/>
      <c r="I247" s="296"/>
      <c r="J247" s="296"/>
      <c r="K247" s="296"/>
      <c r="L247" s="605"/>
      <c r="N247" s="297"/>
      <c r="O247" s="285"/>
      <c r="P247" s="297"/>
      <c r="Q247" s="285"/>
      <c r="S247" s="292"/>
      <c r="U247" s="292"/>
      <c r="X247" s="292"/>
      <c r="Y247" s="285"/>
      <c r="AA247" s="293"/>
      <c r="AE247" s="613"/>
      <c r="AF247" s="613"/>
      <c r="AG247" s="613"/>
      <c r="AH247" s="613"/>
      <c r="AI247" s="613"/>
      <c r="AJ247" s="613"/>
      <c r="AR247" s="846"/>
      <c r="AS247" s="613"/>
      <c r="AT247" s="613"/>
      <c r="AU247" s="613"/>
      <c r="AV247" s="613"/>
      <c r="AW247" s="613"/>
      <c r="BA247" s="613"/>
      <c r="BB247" s="613"/>
      <c r="BC247" s="613"/>
    </row>
    <row r="248" spans="1:145" s="287" customFormat="1">
      <c r="A248" s="283"/>
      <c r="D248" s="283"/>
      <c r="E248" s="294"/>
      <c r="F248" s="294"/>
      <c r="G248" s="295"/>
      <c r="H248" s="296"/>
      <c r="I248" s="296"/>
      <c r="J248" s="296"/>
      <c r="K248" s="296"/>
      <c r="L248" s="605"/>
      <c r="N248" s="297"/>
      <c r="O248" s="285"/>
      <c r="P248" s="297"/>
      <c r="Q248" s="285"/>
      <c r="S248" s="292"/>
      <c r="U248" s="292"/>
      <c r="X248" s="292"/>
      <c r="Y248" s="285"/>
      <c r="AA248" s="293"/>
      <c r="AE248" s="613"/>
      <c r="AF248" s="613"/>
      <c r="AG248" s="613"/>
      <c r="AH248" s="613"/>
      <c r="AI248" s="613"/>
      <c r="AJ248" s="613"/>
      <c r="AR248" s="846"/>
      <c r="AS248" s="613"/>
      <c r="AT248" s="613"/>
      <c r="AU248" s="613"/>
      <c r="AV248" s="613"/>
      <c r="AW248" s="613"/>
      <c r="BA248" s="613"/>
      <c r="BB248" s="613"/>
      <c r="BC248" s="613"/>
    </row>
    <row r="249" spans="1:145" s="287" customFormat="1">
      <c r="A249" s="283"/>
      <c r="D249" s="283"/>
      <c r="E249" s="294"/>
      <c r="F249" s="294"/>
      <c r="G249" s="295"/>
      <c r="H249" s="296"/>
      <c r="I249" s="296"/>
      <c r="J249" s="296"/>
      <c r="K249" s="296"/>
      <c r="L249" s="605"/>
      <c r="N249" s="297"/>
      <c r="O249" s="285"/>
      <c r="P249" s="297"/>
      <c r="Q249" s="285"/>
      <c r="S249" s="292"/>
      <c r="U249" s="292"/>
      <c r="X249" s="292"/>
      <c r="Y249" s="285"/>
      <c r="AA249" s="293"/>
      <c r="AE249" s="613"/>
      <c r="AF249" s="613"/>
      <c r="AG249" s="613"/>
      <c r="AH249" s="613"/>
      <c r="AI249" s="613"/>
      <c r="AJ249" s="613"/>
      <c r="AR249" s="846"/>
      <c r="AS249" s="613"/>
      <c r="AT249" s="613"/>
      <c r="AU249" s="613"/>
      <c r="AV249" s="613"/>
      <c r="AW249" s="613"/>
      <c r="BA249" s="613"/>
      <c r="BB249" s="613"/>
      <c r="BC249" s="613"/>
    </row>
    <row r="250" spans="1:145" s="287" customFormat="1">
      <c r="A250" s="283"/>
      <c r="D250" s="283"/>
      <c r="E250" s="294"/>
      <c r="F250" s="294"/>
      <c r="G250" s="295"/>
      <c r="H250" s="296"/>
      <c r="I250" s="296"/>
      <c r="J250" s="296"/>
      <c r="K250" s="296"/>
      <c r="L250" s="605"/>
      <c r="N250" s="297"/>
      <c r="O250" s="285"/>
      <c r="P250" s="297"/>
      <c r="Q250" s="285"/>
      <c r="S250" s="292"/>
      <c r="U250" s="292"/>
      <c r="X250" s="292"/>
      <c r="Y250" s="285"/>
      <c r="AA250" s="293"/>
      <c r="AE250" s="613"/>
      <c r="AF250" s="613"/>
      <c r="AG250" s="613"/>
      <c r="AH250" s="613"/>
      <c r="AI250" s="613"/>
      <c r="AJ250" s="613"/>
      <c r="AR250" s="846"/>
      <c r="AS250" s="613"/>
      <c r="AT250" s="613"/>
      <c r="AU250" s="613"/>
      <c r="AV250" s="613"/>
      <c r="AW250" s="613"/>
      <c r="BA250" s="613"/>
      <c r="BB250" s="613"/>
      <c r="BC250" s="613"/>
    </row>
    <row r="251" spans="1:145" s="287" customFormat="1">
      <c r="A251" s="283"/>
      <c r="D251" s="283"/>
      <c r="E251" s="294"/>
      <c r="F251" s="294"/>
      <c r="G251" s="295"/>
      <c r="H251" s="296"/>
      <c r="I251" s="296"/>
      <c r="J251" s="296"/>
      <c r="K251" s="296"/>
      <c r="L251" s="605"/>
      <c r="N251" s="297"/>
      <c r="O251" s="285"/>
      <c r="P251" s="297"/>
      <c r="Q251" s="285"/>
      <c r="S251" s="292"/>
      <c r="U251" s="292"/>
      <c r="X251" s="292"/>
      <c r="Y251" s="285"/>
      <c r="AA251" s="293"/>
      <c r="AE251" s="613"/>
      <c r="AF251" s="613"/>
      <c r="AG251" s="613"/>
      <c r="AH251" s="613"/>
      <c r="AI251" s="613"/>
      <c r="AJ251" s="613"/>
      <c r="AR251" s="846"/>
      <c r="AS251" s="613"/>
      <c r="AT251" s="613"/>
      <c r="AU251" s="613"/>
      <c r="AV251" s="613"/>
      <c r="AW251" s="613"/>
      <c r="BA251" s="613"/>
      <c r="BB251" s="613"/>
      <c r="BC251" s="613"/>
    </row>
    <row r="252" spans="1:145" s="287" customFormat="1">
      <c r="A252" s="283"/>
      <c r="D252" s="283"/>
      <c r="E252" s="294"/>
      <c r="F252" s="294"/>
      <c r="G252" s="295"/>
      <c r="H252" s="296"/>
      <c r="I252" s="296"/>
      <c r="J252" s="296"/>
      <c r="K252" s="296"/>
      <c r="L252" s="605"/>
      <c r="N252" s="297"/>
      <c r="O252" s="285"/>
      <c r="P252" s="297"/>
      <c r="Q252" s="285"/>
      <c r="S252" s="292"/>
      <c r="U252" s="292"/>
      <c r="X252" s="292"/>
      <c r="Y252" s="285"/>
      <c r="AA252" s="293"/>
      <c r="AE252" s="613"/>
      <c r="AF252" s="613"/>
      <c r="AG252" s="613"/>
      <c r="AH252" s="613"/>
      <c r="AI252" s="613"/>
      <c r="AJ252" s="613"/>
      <c r="AR252" s="846"/>
      <c r="AS252" s="613"/>
      <c r="AT252" s="613"/>
      <c r="AU252" s="613"/>
      <c r="AV252" s="613"/>
      <c r="AW252" s="613"/>
      <c r="BA252" s="613"/>
      <c r="BB252" s="613"/>
      <c r="BC252" s="613"/>
    </row>
    <row r="253" spans="1:145" s="287" customFormat="1">
      <c r="A253" s="283"/>
      <c r="D253" s="283"/>
      <c r="E253" s="294"/>
      <c r="F253" s="294"/>
      <c r="G253" s="295"/>
      <c r="H253" s="296"/>
      <c r="I253" s="296"/>
      <c r="J253" s="296"/>
      <c r="K253" s="296"/>
      <c r="L253" s="605"/>
      <c r="N253" s="297"/>
      <c r="O253" s="285"/>
      <c r="P253" s="297"/>
      <c r="Q253" s="285"/>
      <c r="S253" s="292"/>
      <c r="U253" s="292"/>
      <c r="X253" s="292"/>
      <c r="Y253" s="285"/>
      <c r="AA253" s="293"/>
      <c r="AE253" s="613"/>
      <c r="AF253" s="613"/>
      <c r="AG253" s="613"/>
      <c r="AH253" s="613"/>
      <c r="AI253" s="613"/>
      <c r="AJ253" s="613"/>
      <c r="AR253" s="846"/>
      <c r="AS253" s="613"/>
      <c r="AT253" s="613"/>
      <c r="AU253" s="613"/>
      <c r="AV253" s="613"/>
      <c r="AW253" s="613"/>
      <c r="BA253" s="613"/>
      <c r="BB253" s="613"/>
      <c r="BC253" s="613"/>
      <c r="EN253" s="9"/>
      <c r="EO253" s="9"/>
    </row>
    <row r="254" spans="1:145" s="287" customFormat="1">
      <c r="A254" s="283"/>
      <c r="D254" s="283"/>
      <c r="E254" s="294"/>
      <c r="F254" s="294"/>
      <c r="G254" s="295"/>
      <c r="H254" s="296"/>
      <c r="I254" s="296"/>
      <c r="J254" s="296"/>
      <c r="K254" s="296"/>
      <c r="L254" s="605"/>
      <c r="N254" s="297"/>
      <c r="O254" s="285"/>
      <c r="P254" s="297"/>
      <c r="Q254" s="285"/>
      <c r="S254" s="292"/>
      <c r="U254" s="292"/>
      <c r="X254" s="292"/>
      <c r="Y254" s="285"/>
      <c r="AA254" s="293"/>
      <c r="AE254" s="613"/>
      <c r="AF254" s="613"/>
      <c r="AG254" s="613"/>
      <c r="AH254" s="613"/>
      <c r="AI254" s="613"/>
      <c r="AJ254" s="613"/>
      <c r="AR254" s="846"/>
      <c r="AS254" s="613"/>
      <c r="AT254" s="613"/>
      <c r="AU254" s="613"/>
      <c r="AV254" s="613"/>
      <c r="AW254" s="613"/>
      <c r="BA254" s="613"/>
      <c r="BB254" s="613"/>
      <c r="BC254" s="613"/>
      <c r="EN254" s="9"/>
      <c r="EO254" s="9"/>
    </row>
    <row r="255" spans="1:145">
      <c r="A255" s="283"/>
      <c r="B255" s="287"/>
      <c r="C255" s="287"/>
      <c r="D255" s="283"/>
      <c r="E255" s="294"/>
      <c r="F255" s="294"/>
      <c r="G255" s="295"/>
      <c r="H255" s="296"/>
      <c r="I255" s="296"/>
      <c r="J255" s="296"/>
      <c r="K255" s="296"/>
      <c r="L255" s="605"/>
      <c r="M255" s="287"/>
      <c r="N255" s="297"/>
      <c r="O255" s="285"/>
      <c r="P255" s="297"/>
      <c r="Q255" s="285"/>
      <c r="R255" s="287"/>
      <c r="S255" s="292"/>
      <c r="T255" s="287"/>
      <c r="U255" s="292"/>
      <c r="V255" s="287"/>
      <c r="W255" s="287"/>
      <c r="X255" s="292"/>
      <c r="Y255" s="285"/>
      <c r="Z255" s="287"/>
      <c r="AA255" s="293"/>
      <c r="AB255" s="287"/>
      <c r="AC255" s="287"/>
      <c r="AD255" s="287"/>
      <c r="AE255" s="613"/>
      <c r="AF255" s="613"/>
      <c r="AG255" s="613"/>
      <c r="AH255" s="613"/>
      <c r="AI255" s="613"/>
      <c r="AJ255" s="613"/>
    </row>
    <row r="256" spans="1:145">
      <c r="A256" s="283"/>
      <c r="B256" s="287"/>
      <c r="C256" s="287"/>
      <c r="D256" s="283"/>
      <c r="E256" s="294"/>
      <c r="F256" s="294"/>
      <c r="G256" s="295"/>
      <c r="H256" s="296"/>
      <c r="I256" s="296"/>
      <c r="J256" s="296"/>
      <c r="K256" s="296"/>
      <c r="L256" s="605"/>
      <c r="M256" s="287"/>
      <c r="N256" s="297"/>
      <c r="O256" s="285"/>
      <c r="P256" s="297"/>
      <c r="Q256" s="285"/>
      <c r="R256" s="287"/>
      <c r="S256" s="292"/>
      <c r="T256" s="287"/>
      <c r="U256" s="292"/>
      <c r="V256" s="287"/>
      <c r="W256" s="287"/>
      <c r="X256" s="292"/>
      <c r="Y256" s="285"/>
      <c r="Z256" s="287"/>
      <c r="AA256" s="293"/>
      <c r="AB256" s="287"/>
      <c r="AC256" s="287"/>
      <c r="AD256" s="287"/>
      <c r="AE256" s="613"/>
      <c r="AF256" s="613"/>
      <c r="AG256" s="613"/>
      <c r="AH256" s="613"/>
      <c r="AI256" s="613"/>
      <c r="AJ256" s="613"/>
    </row>
    <row r="257" spans="1:143">
      <c r="A257" s="283"/>
      <c r="B257" s="287"/>
      <c r="C257" s="287"/>
      <c r="D257" s="283"/>
      <c r="E257" s="294"/>
      <c r="F257" s="294"/>
      <c r="G257" s="295"/>
      <c r="H257" s="296"/>
      <c r="I257" s="296"/>
      <c r="J257" s="296"/>
      <c r="K257" s="296"/>
      <c r="L257" s="605"/>
      <c r="M257" s="287"/>
      <c r="N257" s="297"/>
      <c r="O257" s="285"/>
      <c r="P257" s="297"/>
      <c r="Q257" s="285"/>
      <c r="R257" s="287"/>
      <c r="S257" s="292"/>
      <c r="T257" s="287"/>
      <c r="U257" s="292"/>
      <c r="V257" s="287"/>
      <c r="W257" s="287"/>
      <c r="X257" s="292"/>
      <c r="Y257" s="285"/>
      <c r="Z257" s="287"/>
      <c r="AA257" s="293"/>
      <c r="AB257" s="287"/>
      <c r="AC257" s="287"/>
      <c r="AD257" s="287"/>
      <c r="AE257" s="613"/>
      <c r="AF257" s="613"/>
      <c r="AG257" s="613"/>
      <c r="AH257" s="613"/>
      <c r="AI257" s="613"/>
      <c r="AJ257" s="613"/>
    </row>
    <row r="258" spans="1:143">
      <c r="A258" s="283"/>
      <c r="B258" s="287"/>
      <c r="C258" s="287"/>
      <c r="D258" s="283"/>
      <c r="E258" s="294"/>
      <c r="F258" s="294"/>
      <c r="G258" s="295"/>
      <c r="H258" s="296"/>
      <c r="I258" s="296"/>
      <c r="J258" s="296"/>
      <c r="K258" s="296"/>
      <c r="L258" s="605"/>
      <c r="M258" s="287"/>
      <c r="N258" s="297"/>
      <c r="O258" s="285"/>
      <c r="P258" s="297"/>
      <c r="Q258" s="285"/>
      <c r="R258" s="287"/>
      <c r="S258" s="292"/>
      <c r="T258" s="287"/>
      <c r="U258" s="292"/>
      <c r="V258" s="287"/>
      <c r="W258" s="287"/>
      <c r="X258" s="292"/>
      <c r="Y258" s="285"/>
      <c r="Z258" s="287"/>
      <c r="AA258" s="293"/>
      <c r="AB258" s="287"/>
      <c r="AC258" s="287"/>
      <c r="AD258" s="287"/>
      <c r="AE258" s="613"/>
      <c r="AF258" s="613"/>
      <c r="AG258" s="613"/>
      <c r="AH258" s="613"/>
      <c r="AI258" s="613"/>
      <c r="AJ258" s="613"/>
    </row>
    <row r="259" spans="1:143">
      <c r="A259" s="283"/>
      <c r="B259" s="287"/>
      <c r="C259" s="287"/>
      <c r="D259" s="283"/>
      <c r="E259" s="294"/>
      <c r="F259" s="294"/>
      <c r="G259" s="295"/>
      <c r="H259" s="296"/>
      <c r="I259" s="296"/>
      <c r="J259" s="296"/>
      <c r="K259" s="296"/>
      <c r="L259" s="605"/>
      <c r="M259" s="287"/>
      <c r="N259" s="297"/>
      <c r="O259" s="285"/>
      <c r="P259" s="297"/>
      <c r="Q259" s="285"/>
      <c r="R259" s="287"/>
      <c r="S259" s="292"/>
      <c r="T259" s="287"/>
      <c r="U259" s="292"/>
      <c r="V259" s="287"/>
      <c r="W259" s="287"/>
      <c r="X259" s="292"/>
      <c r="Y259" s="285"/>
      <c r="Z259" s="287"/>
      <c r="AA259" s="293"/>
      <c r="AB259" s="287"/>
      <c r="AC259" s="287"/>
      <c r="AD259" s="287"/>
      <c r="AE259" s="613"/>
      <c r="AF259" s="613"/>
      <c r="AG259" s="613"/>
      <c r="AH259" s="613"/>
      <c r="AI259" s="613"/>
      <c r="AJ259" s="613"/>
    </row>
    <row r="260" spans="1:143">
      <c r="A260" s="283"/>
      <c r="B260" s="287"/>
      <c r="C260" s="287"/>
      <c r="D260" s="283"/>
      <c r="E260" s="294"/>
      <c r="F260" s="294"/>
      <c r="G260" s="295"/>
      <c r="H260" s="296"/>
      <c r="I260" s="296"/>
      <c r="J260" s="296"/>
      <c r="K260" s="296"/>
      <c r="L260" s="605"/>
      <c r="M260" s="287"/>
      <c r="N260" s="297"/>
      <c r="O260" s="285"/>
      <c r="P260" s="297"/>
      <c r="Q260" s="285"/>
      <c r="R260" s="287"/>
      <c r="S260" s="292"/>
      <c r="T260" s="287"/>
      <c r="U260" s="292"/>
      <c r="V260" s="287"/>
      <c r="W260" s="287"/>
      <c r="X260" s="292"/>
      <c r="Y260" s="285"/>
      <c r="Z260" s="287"/>
      <c r="AA260" s="293"/>
      <c r="AB260" s="287"/>
      <c r="AC260" s="287"/>
      <c r="AD260" s="287"/>
      <c r="AE260" s="613"/>
      <c r="AF260" s="613"/>
      <c r="AG260" s="613"/>
      <c r="AH260" s="613"/>
      <c r="AI260" s="613"/>
      <c r="AJ260" s="613"/>
    </row>
    <row r="261" spans="1:143">
      <c r="A261" s="283"/>
      <c r="B261" s="287"/>
      <c r="C261" s="287"/>
      <c r="D261" s="283"/>
      <c r="E261" s="294"/>
      <c r="F261" s="294"/>
      <c r="G261" s="295"/>
      <c r="H261" s="296"/>
      <c r="I261" s="296"/>
      <c r="J261" s="296"/>
      <c r="K261" s="296"/>
      <c r="L261" s="605"/>
      <c r="M261" s="287"/>
      <c r="N261" s="297"/>
      <c r="O261" s="285"/>
      <c r="P261" s="297"/>
      <c r="Q261" s="285"/>
      <c r="R261" s="287"/>
      <c r="S261" s="292"/>
      <c r="T261" s="287"/>
      <c r="U261" s="292"/>
      <c r="V261" s="287"/>
      <c r="W261" s="287"/>
      <c r="X261" s="292"/>
      <c r="Y261" s="285"/>
      <c r="Z261" s="287"/>
      <c r="AA261" s="293"/>
      <c r="AB261" s="287"/>
      <c r="AC261" s="287"/>
      <c r="AD261" s="287"/>
      <c r="AE261" s="613"/>
      <c r="AF261" s="613"/>
      <c r="AG261" s="613"/>
      <c r="AH261" s="613"/>
      <c r="AI261" s="613"/>
      <c r="AJ261" s="613"/>
    </row>
    <row r="262" spans="1:143">
      <c r="A262" s="283"/>
      <c r="B262" s="287"/>
      <c r="C262" s="287"/>
      <c r="D262" s="283"/>
      <c r="E262" s="294"/>
      <c r="F262" s="294"/>
      <c r="G262" s="295"/>
      <c r="H262" s="296"/>
      <c r="I262" s="296"/>
      <c r="J262" s="296"/>
      <c r="K262" s="296"/>
      <c r="L262" s="605"/>
      <c r="M262" s="287"/>
      <c r="N262" s="297"/>
      <c r="O262" s="285"/>
      <c r="P262" s="297"/>
      <c r="Q262" s="285"/>
      <c r="R262" s="287"/>
      <c r="S262" s="292"/>
      <c r="T262" s="287"/>
      <c r="U262" s="292"/>
      <c r="V262" s="287"/>
      <c r="W262" s="287"/>
      <c r="X262" s="292"/>
      <c r="Y262" s="285"/>
      <c r="Z262" s="287"/>
      <c r="AA262" s="293"/>
      <c r="AB262" s="287"/>
      <c r="AC262" s="287"/>
      <c r="AD262" s="287"/>
      <c r="AE262" s="613"/>
      <c r="AF262" s="613"/>
      <c r="AG262" s="613"/>
      <c r="AH262" s="613"/>
      <c r="AI262" s="613"/>
      <c r="AJ262" s="613"/>
    </row>
    <row r="263" spans="1:143">
      <c r="A263" s="283"/>
      <c r="B263" s="287"/>
      <c r="C263" s="287"/>
      <c r="D263" s="283"/>
      <c r="E263" s="294"/>
      <c r="F263" s="294"/>
      <c r="G263" s="295"/>
      <c r="H263" s="296"/>
      <c r="I263" s="296"/>
      <c r="J263" s="296"/>
      <c r="K263" s="296"/>
      <c r="L263" s="605"/>
      <c r="M263" s="287"/>
      <c r="N263" s="297"/>
      <c r="O263" s="285"/>
      <c r="P263" s="297"/>
      <c r="Q263" s="285"/>
      <c r="R263" s="287"/>
      <c r="S263" s="292"/>
      <c r="T263" s="287"/>
      <c r="U263" s="292"/>
      <c r="V263" s="287"/>
      <c r="W263" s="287"/>
      <c r="X263" s="292"/>
      <c r="Y263" s="285"/>
      <c r="Z263" s="287"/>
      <c r="AA263" s="293"/>
      <c r="AB263" s="287"/>
      <c r="AC263" s="287"/>
      <c r="AD263" s="287"/>
      <c r="AE263" s="613"/>
      <c r="AF263" s="613"/>
      <c r="AG263" s="613"/>
      <c r="AH263" s="613"/>
      <c r="AI263" s="613"/>
      <c r="AJ263" s="613"/>
    </row>
    <row r="264" spans="1:143">
      <c r="A264" s="283"/>
      <c r="B264" s="287"/>
      <c r="C264" s="287"/>
      <c r="D264" s="283"/>
      <c r="E264" s="294"/>
      <c r="F264" s="294"/>
      <c r="G264" s="295"/>
      <c r="H264" s="296"/>
      <c r="I264" s="296"/>
      <c r="J264" s="296"/>
      <c r="K264" s="296"/>
      <c r="L264" s="605"/>
      <c r="M264" s="287"/>
      <c r="N264" s="297"/>
      <c r="O264" s="285"/>
      <c r="P264" s="297"/>
      <c r="Q264" s="285"/>
      <c r="R264" s="287"/>
      <c r="S264" s="292"/>
      <c r="T264" s="287"/>
      <c r="U264" s="292"/>
      <c r="V264" s="287"/>
      <c r="W264" s="287"/>
      <c r="X264" s="292"/>
      <c r="Y264" s="285"/>
      <c r="Z264" s="287"/>
      <c r="AA264" s="293"/>
      <c r="AB264" s="287"/>
      <c r="AC264" s="287"/>
      <c r="AD264" s="287"/>
      <c r="AE264" s="613"/>
      <c r="AF264" s="613"/>
      <c r="AG264" s="613"/>
      <c r="AH264" s="613"/>
      <c r="AI264" s="613"/>
      <c r="AJ264" s="613"/>
    </row>
    <row r="265" spans="1:143">
      <c r="A265" s="283"/>
      <c r="B265" s="287"/>
      <c r="C265" s="287"/>
      <c r="D265" s="283"/>
      <c r="E265" s="294"/>
      <c r="F265" s="294"/>
      <c r="G265" s="295"/>
      <c r="H265" s="296"/>
      <c r="I265" s="296"/>
      <c r="J265" s="296"/>
      <c r="K265" s="296"/>
      <c r="L265" s="605"/>
      <c r="M265" s="287"/>
      <c r="N265" s="297"/>
      <c r="O265" s="285"/>
      <c r="P265" s="297"/>
      <c r="Q265" s="285"/>
      <c r="R265" s="287"/>
      <c r="S265" s="292"/>
      <c r="T265" s="287"/>
      <c r="U265" s="292"/>
      <c r="V265" s="287"/>
      <c r="W265" s="287"/>
      <c r="X265" s="292"/>
      <c r="Y265" s="285"/>
      <c r="Z265" s="287"/>
      <c r="AA265" s="293"/>
      <c r="AB265" s="287"/>
      <c r="AC265" s="287"/>
      <c r="AD265" s="287"/>
      <c r="AE265" s="613"/>
      <c r="AF265" s="613"/>
      <c r="AG265" s="613"/>
      <c r="AH265" s="613"/>
      <c r="AI265" s="613"/>
      <c r="AJ265" s="613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</row>
  </sheetData>
  <sheetProtection sheet="1" objects="1" scenarios="1" selectLockedCells="1"/>
  <autoFilter ref="A7:EM7"/>
  <customSheetViews>
    <customSheetView guid="{459F3284-99E1-4A46-80B6-CF44B0CB392E}" fitToPage="1" showAutoFilter="1" hiddenColumns="1">
      <pane xSplit="6" ySplit="4" topLeftCell="S38" activePane="bottomRight" state="frozenSplit"/>
      <selection pane="bottomRight" activeCell="D2" sqref="D2"/>
      <printOptions horizontalCentered="1"/>
      <pageSetup paperSize="9" scale="74" fitToWidth="2" fitToHeight="2" orientation="portrait"/>
      <headerFooter alignWithMargins="0"/>
      <autoFilter ref="B1:EJ1"/>
    </customSheetView>
  </customSheetViews>
  <mergeCells count="3">
    <mergeCell ref="AC6:AQ6"/>
    <mergeCell ref="P6:AB6"/>
    <mergeCell ref="D6:O6"/>
  </mergeCells>
  <phoneticPr fontId="2" type="noConversion"/>
  <conditionalFormatting sqref="D166:G167 D87:G89 D148:G156 D130:G146 D158:G164">
    <cfRule type="cellIs" dxfId="6" priority="99" operator="equal">
      <formula>0</formula>
    </cfRule>
  </conditionalFormatting>
  <conditionalFormatting sqref="D152:G154">
    <cfRule type="cellIs" dxfId="5" priority="98" operator="equal">
      <formula>0</formula>
    </cfRule>
  </conditionalFormatting>
  <conditionalFormatting sqref="AN103:AP103 AL79:AP79 AL74:AP74 AN44:AP45 AN56:AP57 AN26:AP26 AN29:AP29 AN39:AP39 AN12:AP12 AL77:AP77">
    <cfRule type="cellIs" dxfId="4" priority="5" operator="equal">
      <formula>0</formula>
    </cfRule>
  </conditionalFormatting>
  <printOptions horizontalCentered="1"/>
  <pageMargins left="0.23622047244094491" right="0.23622047244094491" top="0.19685039370078741" bottom="0.19685039370078741" header="0.51181102362204722" footer="0.51181102362204722"/>
  <pageSetup paperSize="9" scale="66" fitToWidth="2" fitToHeight="2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5" r:id="rId3" name="Button 3">
              <controlPr defaultSize="0" print="0" autoFill="0" autoPict="0" macro="[0]!Startseite">
                <anchor moveWithCells="1">
                  <from>
                    <xdr:col>2</xdr:col>
                    <xdr:colOff>25400</xdr:colOff>
                    <xdr:row>1</xdr:row>
                    <xdr:rowOff>0</xdr:rowOff>
                  </from>
                  <to>
                    <xdr:col>3</xdr:col>
                    <xdr:colOff>1651000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4996" r:id="rId4" name="Button 4">
              <controlPr defaultSize="0" print="0" autoFill="0" autoPict="0" macro="[0]!Futterberechnung">
                <anchor moveWithCells="1">
                  <from>
                    <xdr:col>3</xdr:col>
                    <xdr:colOff>1803400</xdr:colOff>
                    <xdr:row>1</xdr:row>
                    <xdr:rowOff>0</xdr:rowOff>
                  </from>
                  <to>
                    <xdr:col>6</xdr:col>
                    <xdr:colOff>266700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4997" r:id="rId5" name="Button 5">
              <controlPr defaultSize="0" print="0" autoFill="0" autoPict="0" macro="[0]!Modul9.Mineralfutter">
                <anchor moveWithCells="1">
                  <from>
                    <xdr:col>7</xdr:col>
                    <xdr:colOff>292100</xdr:colOff>
                    <xdr:row>1</xdr:row>
                    <xdr:rowOff>0</xdr:rowOff>
                  </from>
                  <to>
                    <xdr:col>9</xdr:col>
                    <xdr:colOff>558800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4998" r:id="rId6" name="Button 6">
              <controlPr defaultSize="0" print="0" autoFill="0" autoPict="0" macro="[0]!Preiswürdigkeit">
                <anchor moveWithCells="1">
                  <from>
                    <xdr:col>12</xdr:col>
                    <xdr:colOff>381000</xdr:colOff>
                    <xdr:row>1</xdr:row>
                    <xdr:rowOff>0</xdr:rowOff>
                  </from>
                  <to>
                    <xdr:col>14</xdr:col>
                    <xdr:colOff>660400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4999" r:id="rId7" name="Button 7">
              <controlPr defaultSize="0" print="0" autoFill="0" autoPict="0" macro="[0]!Futtermittel_einfügen">
                <anchor moveWithCells="1">
                  <from>
                    <xdr:col>15</xdr:col>
                    <xdr:colOff>63500</xdr:colOff>
                    <xdr:row>1</xdr:row>
                    <xdr:rowOff>0</xdr:rowOff>
                  </from>
                  <to>
                    <xdr:col>17</xdr:col>
                    <xdr:colOff>342900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85001" r:id="rId8" name="Button 9">
              <controlPr defaultSize="0" print="0" autoFill="0" autoPict="0" macro="[0]!Modul9.Ergänzungsfutter">
                <anchor moveWithCells="1">
                  <from>
                    <xdr:col>9</xdr:col>
                    <xdr:colOff>698500</xdr:colOff>
                    <xdr:row>1</xdr:row>
                    <xdr:rowOff>0</xdr:rowOff>
                  </from>
                  <to>
                    <xdr:col>12</xdr:col>
                    <xdr:colOff>254000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enableFormatConditionsCalculation="0">
    <tabColor indexed="42"/>
    <pageSetUpPr fitToPage="1"/>
  </sheetPr>
  <dimension ref="A1:AE378"/>
  <sheetViews>
    <sheetView showGridLines="0" showRowColHeaders="0" showZeros="0" tabSelected="1" zoomScale="118" zoomScaleNormal="118" zoomScalePageLayoutView="118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M16" sqref="M16"/>
    </sheetView>
  </sheetViews>
  <sheetFormatPr baseColWidth="10" defaultRowHeight="12" x14ac:dyDescent="0"/>
  <cols>
    <col min="1" max="1" width="1.33203125" style="931" customWidth="1"/>
    <col min="2" max="2" width="46.5" customWidth="1"/>
    <col min="3" max="3" width="8.6640625" style="1386" customWidth="1"/>
    <col min="4" max="9" width="8.6640625" customWidth="1"/>
    <col min="10" max="10" width="8.6640625" style="1377" customWidth="1"/>
    <col min="11" max="11" width="8.6640625" customWidth="1"/>
    <col min="12" max="12" width="8.6640625" style="1" customWidth="1"/>
    <col min="13" max="13" width="8.6640625" style="90" customWidth="1"/>
    <col min="14" max="14" width="11.5" style="53" bestFit="1" customWidth="1"/>
    <col min="15" max="31" width="11.5" style="14" customWidth="1"/>
  </cols>
  <sheetData>
    <row r="1" spans="1:31" s="99" customFormat="1" ht="5.25" customHeight="1">
      <c r="C1" s="1378"/>
      <c r="J1" s="264"/>
    </row>
    <row r="2" spans="1:31" s="99" customFormat="1" ht="24" customHeight="1">
      <c r="C2" s="1378"/>
      <c r="J2" s="264"/>
    </row>
    <row r="3" spans="1:31" s="99" customFormat="1" ht="3.75" customHeight="1">
      <c r="C3" s="1378"/>
      <c r="J3" s="264"/>
      <c r="Y3" s="14"/>
      <c r="Z3" s="14"/>
      <c r="AA3" s="14"/>
    </row>
    <row r="4" spans="1:31" s="16" customFormat="1" ht="15">
      <c r="A4" s="930"/>
      <c r="B4" s="1732" t="s">
        <v>239</v>
      </c>
      <c r="C4" s="1733"/>
      <c r="D4" s="1733"/>
      <c r="E4" s="1733"/>
      <c r="F4" s="1733"/>
      <c r="G4" s="1733"/>
      <c r="H4" s="1733"/>
      <c r="I4" s="1733"/>
      <c r="J4" s="1733"/>
      <c r="K4" s="1733"/>
      <c r="L4" s="1733"/>
      <c r="M4" s="1733"/>
      <c r="N4" s="1733"/>
    </row>
    <row r="5" spans="1:31" s="16" customFormat="1" ht="15">
      <c r="A5" s="930"/>
      <c r="C5" s="1379"/>
      <c r="J5" s="1366"/>
      <c r="M5" s="87"/>
      <c r="N5" s="59"/>
    </row>
    <row r="6" spans="1:31" s="14" customFormat="1">
      <c r="A6" s="931"/>
      <c r="B6" s="14" t="s">
        <v>241</v>
      </c>
      <c r="C6" s="1380"/>
      <c r="J6" s="1367"/>
      <c r="L6" s="17"/>
      <c r="M6" s="88"/>
      <c r="N6" s="60"/>
    </row>
    <row r="7" spans="1:31" s="14" customFormat="1">
      <c r="A7" s="931"/>
      <c r="B7" s="948" t="s">
        <v>242</v>
      </c>
      <c r="C7" s="1380"/>
      <c r="J7" s="1367"/>
      <c r="L7" s="17"/>
      <c r="M7" s="88"/>
      <c r="N7" s="60"/>
    </row>
    <row r="8" spans="1:31" s="14" customFormat="1">
      <c r="A8" s="931"/>
      <c r="B8" s="948" t="s">
        <v>683</v>
      </c>
      <c r="C8" s="1380"/>
      <c r="J8" s="1367"/>
      <c r="L8" s="17"/>
      <c r="M8" s="88"/>
      <c r="N8" s="60"/>
    </row>
    <row r="9" spans="1:31" s="14" customFormat="1">
      <c r="A9" s="931"/>
      <c r="B9" s="1118" t="s">
        <v>968</v>
      </c>
      <c r="C9" s="1380"/>
      <c r="J9" s="1367"/>
      <c r="L9" s="17"/>
      <c r="M9" s="88"/>
      <c r="N9" s="60"/>
    </row>
    <row r="10" spans="1:31" s="14" customFormat="1">
      <c r="A10" s="931"/>
      <c r="B10" s="62" t="s">
        <v>684</v>
      </c>
      <c r="C10" s="1381"/>
      <c r="D10" s="61"/>
      <c r="E10" s="61"/>
      <c r="F10" s="61"/>
      <c r="G10" s="61"/>
      <c r="H10" s="61"/>
      <c r="I10" s="61"/>
      <c r="J10" s="1368"/>
      <c r="K10" s="61"/>
      <c r="L10" s="17"/>
      <c r="M10" s="88"/>
      <c r="N10" s="60"/>
    </row>
    <row r="11" spans="1:31" s="14" customFormat="1">
      <c r="A11" s="931"/>
      <c r="B11" s="948" t="s">
        <v>685</v>
      </c>
      <c r="C11" s="1380"/>
      <c r="J11" s="1367"/>
      <c r="L11" s="17"/>
      <c r="M11" s="88"/>
      <c r="N11" s="60"/>
    </row>
    <row r="12" spans="1:31" s="14" customFormat="1" ht="13" thickBot="1">
      <c r="A12" s="931"/>
      <c r="C12" s="1380"/>
      <c r="J12" s="1367"/>
      <c r="L12" s="17"/>
      <c r="M12" s="88"/>
      <c r="N12" s="60"/>
    </row>
    <row r="13" spans="1:31" ht="30">
      <c r="B13" s="914" t="s">
        <v>23</v>
      </c>
      <c r="C13" s="1382" t="s">
        <v>523</v>
      </c>
      <c r="D13" s="915" t="s">
        <v>548</v>
      </c>
      <c r="E13" s="916" t="s">
        <v>33</v>
      </c>
      <c r="F13" s="917" t="s">
        <v>34</v>
      </c>
      <c r="G13" s="917" t="s">
        <v>8</v>
      </c>
      <c r="H13" s="917" t="s">
        <v>246</v>
      </c>
      <c r="I13" s="917" t="s">
        <v>9</v>
      </c>
      <c r="J13" s="1369" t="s">
        <v>10</v>
      </c>
      <c r="K13" s="918" t="s">
        <v>11</v>
      </c>
      <c r="L13" s="919" t="s">
        <v>12</v>
      </c>
      <c r="M13" s="1734" t="s">
        <v>851</v>
      </c>
      <c r="N13" s="920" t="s">
        <v>279</v>
      </c>
    </row>
    <row r="14" spans="1:31">
      <c r="B14" s="921"/>
      <c r="C14" s="19" t="s">
        <v>255</v>
      </c>
      <c r="D14" s="177"/>
      <c r="E14" s="18" t="s">
        <v>35</v>
      </c>
      <c r="F14" s="19" t="s">
        <v>36</v>
      </c>
      <c r="G14" s="19" t="s">
        <v>36</v>
      </c>
      <c r="H14" s="19" t="s">
        <v>36</v>
      </c>
      <c r="I14" s="19" t="s">
        <v>36</v>
      </c>
      <c r="J14" s="1370" t="s">
        <v>37</v>
      </c>
      <c r="K14" s="20" t="s">
        <v>36</v>
      </c>
      <c r="L14" s="173" t="s">
        <v>36</v>
      </c>
      <c r="M14" s="1735"/>
      <c r="N14" s="922"/>
    </row>
    <row r="15" spans="1:31" ht="13" thickBot="1">
      <c r="B15" s="923"/>
      <c r="C15" s="1383"/>
      <c r="D15" s="178"/>
      <c r="E15" s="55"/>
      <c r="F15" s="56" t="s">
        <v>39</v>
      </c>
      <c r="G15" s="57"/>
      <c r="H15" s="57"/>
      <c r="I15" s="57"/>
      <c r="J15" s="1371"/>
      <c r="K15" s="58"/>
      <c r="L15" s="174"/>
      <c r="M15" s="1730" t="s">
        <v>240</v>
      </c>
      <c r="N15" s="1731"/>
    </row>
    <row r="16" spans="1:31" s="2" customFormat="1" ht="13" thickBot="1">
      <c r="A16" s="931"/>
      <c r="B16" s="1117" t="s">
        <v>1123</v>
      </c>
      <c r="C16" s="1384">
        <f>IF($B16=""," ",VLOOKUP($B16,Futtermittel!$A$8:$CG$171,5,FALSE))</f>
        <v>11</v>
      </c>
      <c r="D16" s="175" t="str">
        <f>IF($B16=""," ",VLOOKUP($B16,Futtermittel!$A$8:$CG$171,6,FALSE))</f>
        <v>Ø 2016</v>
      </c>
      <c r="E16" s="175">
        <f>IF($B16=""," ",VLOOKUP($B16,Futtermittel!$A$8:$CG$171,7,FALSE))</f>
        <v>0</v>
      </c>
      <c r="F16" s="175">
        <f>IF($B16=""," ",VLOOKUP($B16,Futtermittel!$A$8:$CG$171,8,FALSE))</f>
        <v>880</v>
      </c>
      <c r="G16" s="175">
        <f>IF($B16=""," ",VLOOKUP($B16,Futtermittel!$A$8:$CG$171,9,FALSE))</f>
        <v>108.5</v>
      </c>
      <c r="H16" s="175">
        <f>IF($B16=""," ",VLOOKUP($B16,Futtermittel!$A$8:$CG$171,10,FALSE))</f>
        <v>97.65</v>
      </c>
      <c r="I16" s="175">
        <f>IF($B16=""," ",VLOOKUP($B16,Futtermittel!$A$8:$CG$171,11,FALSE))</f>
        <v>26.2</v>
      </c>
      <c r="J16" s="1372">
        <f>IF($B16=""," ",VLOOKUP($B16,Futtermittel!$A$8:$CG$171,12,FALSE))</f>
        <v>13.6816923</v>
      </c>
      <c r="K16" s="180">
        <f>IF($B16=""," ",VLOOKUP($B16,Futtermittel!$A$8:$CG$171,14,FALSE))</f>
        <v>3.1047000000000002</v>
      </c>
      <c r="L16" s="54">
        <f>IF($B16=""," ",VLOOKUP($B16,Futtermittel!$A$8:$CG$171,15,FALSE))</f>
        <v>2.7321360000000001</v>
      </c>
      <c r="M16" s="328">
        <v>14.5</v>
      </c>
      <c r="N16" s="9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2" customFormat="1" ht="13" thickBot="1">
      <c r="A17" s="931"/>
      <c r="B17" s="1117" t="s">
        <v>850</v>
      </c>
      <c r="C17" s="1384">
        <f>IF($B17=""," ",VLOOKUP($B17,Futtermittel!$A$8:$CG$171,5,FALSE))</f>
        <v>43</v>
      </c>
      <c r="D17" s="175">
        <f>IF($B17=""," ",VLOOKUP($B17,Futtermittel!$A$8:$CG$171,6,FALSE))</f>
        <v>0</v>
      </c>
      <c r="E17" s="175" t="str">
        <f>IF($B17=""," ",VLOOKUP($B17,Futtermittel!$A$8:$CG$171,7,FALSE))</f>
        <v>19</v>
      </c>
      <c r="F17" s="175">
        <f>IF($B17=""," ",VLOOKUP($B17,Futtermittel!$A$8:$CG$171,8,FALSE))</f>
        <v>890</v>
      </c>
      <c r="G17" s="175">
        <f>IF($B17=""," ",VLOOKUP($B17,Futtermittel!$A$8:$CG$171,9,FALSE))</f>
        <v>429</v>
      </c>
      <c r="H17" s="175">
        <f>IF($B17=""," ",VLOOKUP($B17,Futtermittel!$A$8:$CG$171,10,FALSE))</f>
        <v>351.78</v>
      </c>
      <c r="I17" s="175">
        <f>IF($B17=""," ",VLOOKUP($B17,Futtermittel!$A$8:$CG$171,11,FALSE))</f>
        <v>69</v>
      </c>
      <c r="J17" s="1372">
        <f>IF($B17=""," ",VLOOKUP($B17,Futtermittel!$A$8:$CG$171,12,FALSE))</f>
        <v>13.097460999999999</v>
      </c>
      <c r="K17" s="180">
        <f>IF($B17=""," ",VLOOKUP($B17,Futtermittel!$A$8:$CG$171,14,FALSE))</f>
        <v>26.623745454545457</v>
      </c>
      <c r="L17" s="54">
        <f>IF($B17=""," ",VLOOKUP($B17,Futtermittel!$A$8:$CG$171,15,FALSE))</f>
        <v>23.162658545454548</v>
      </c>
      <c r="M17" s="328">
        <v>33.5</v>
      </c>
      <c r="N17" s="925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461" customFormat="1">
      <c r="A18" s="932"/>
      <c r="B18" s="1116" t="str">
        <f>Futtermittel!A6</f>
        <v>Getreide</v>
      </c>
      <c r="C18" s="1385">
        <f>Futtermittel!E6</f>
        <v>0</v>
      </c>
      <c r="D18" s="912">
        <f>Futtermittel!F6</f>
        <v>0</v>
      </c>
      <c r="E18" s="609">
        <f>Futtermittel!G6</f>
        <v>0</v>
      </c>
      <c r="F18" s="609"/>
      <c r="G18" s="609">
        <f>Futtermittel!I6</f>
        <v>0</v>
      </c>
      <c r="H18" s="609">
        <f>Futtermittel!J6</f>
        <v>0</v>
      </c>
      <c r="I18" s="609">
        <f>Futtermittel!K6</f>
        <v>0</v>
      </c>
      <c r="J18" s="1373">
        <f>Futtermittel!L6</f>
        <v>0</v>
      </c>
      <c r="K18" s="609">
        <f>Futtermittel!N6</f>
        <v>0</v>
      </c>
      <c r="L18" s="911">
        <f>Futtermittel!O6</f>
        <v>0</v>
      </c>
      <c r="M18" s="608"/>
      <c r="N18" s="926"/>
    </row>
    <row r="19" spans="1:31">
      <c r="B19" s="927" t="str">
        <f>Futtermittel!A8</f>
        <v>CCM, 65 % TM bis 3 % XF auf 88 % TM 9% RP DLG 2014</v>
      </c>
      <c r="C19" s="176">
        <f>Futtermittel!E8</f>
        <v>9</v>
      </c>
      <c r="D19" s="913" t="str">
        <f>Futtermittel!F8</f>
        <v>DLG 2014</v>
      </c>
      <c r="E19" s="176">
        <f>Futtermittel!G8</f>
        <v>0</v>
      </c>
      <c r="F19" s="176">
        <f>Futtermittel!H8</f>
        <v>880</v>
      </c>
      <c r="G19" s="176">
        <f>Futtermittel!I8</f>
        <v>88</v>
      </c>
      <c r="H19" s="176">
        <f>Futtermittel!J8</f>
        <v>71.28</v>
      </c>
      <c r="I19" s="176">
        <f>Futtermittel!K8</f>
        <v>21.661538461538463</v>
      </c>
      <c r="J19" s="1374">
        <f>Futtermittel!L8</f>
        <v>13.412773169230768</v>
      </c>
      <c r="K19" s="181">
        <f>Futtermittel!N8</f>
        <v>2.3208000000000002</v>
      </c>
      <c r="L19" s="179">
        <f>Futtermittel!O8</f>
        <v>1.62456</v>
      </c>
      <c r="M19" s="86">
        <v>23.47</v>
      </c>
      <c r="N19" s="928">
        <f t="shared" ref="N19:N88" si="0">IF(J19=" "," ",M$16*(J19*(L$17*J19-J$17*L19)/((J$16*(L$17*J19-J$17*L19))+(J$17*(J$16*L19-L$16*J19))))+M$17*((J19*(L$17*J19-J$17*L19)/((J$16*(L$17*J19-J$17*L19))+(J$17*(J$16*L19-L$16*J19))))*((J$16*L19-L$16*J19)/(L$17*J19-J$17*1.00000000000001*L19))))</f>
        <v>13.208720241567054</v>
      </c>
    </row>
    <row r="20" spans="1:31">
      <c r="B20" s="927" t="str">
        <f>Futtermittel!A9</f>
        <v>CCM, 65 % TM bis 3 % XF in TM 7% RP DLG 2014</v>
      </c>
      <c r="C20" s="176">
        <f>Futtermittel!E9</f>
        <v>7</v>
      </c>
      <c r="D20" s="913" t="str">
        <f>Futtermittel!F9</f>
        <v>DLG 2014</v>
      </c>
      <c r="E20" s="176">
        <f>Futtermittel!G9</f>
        <v>0</v>
      </c>
      <c r="F20" s="176">
        <f>Futtermittel!H9</f>
        <v>650</v>
      </c>
      <c r="G20" s="176">
        <f>Futtermittel!I9</f>
        <v>65</v>
      </c>
      <c r="H20" s="176">
        <f>Futtermittel!J9</f>
        <v>52.650000000000006</v>
      </c>
      <c r="I20" s="176">
        <f>Futtermittel!K9</f>
        <v>16</v>
      </c>
      <c r="J20" s="1374">
        <f>Futtermittel!L9</f>
        <v>9.9071619999999996</v>
      </c>
      <c r="K20" s="181">
        <f>Futtermittel!N9</f>
        <v>1.7142272727272727</v>
      </c>
      <c r="L20" s="179">
        <f>Futtermittel!O9</f>
        <v>1.1999590909090909</v>
      </c>
      <c r="M20" s="86">
        <v>16</v>
      </c>
      <c r="N20" s="928">
        <f t="shared" si="0"/>
        <v>9.756441087521118</v>
      </c>
    </row>
    <row r="21" spans="1:31">
      <c r="B21" s="927" t="str">
        <f>Futtermittel!A10</f>
        <v>CCM, 61 % TM über 3 % XF auf 88 % TM 9% RP DLG 2014</v>
      </c>
      <c r="C21" s="176">
        <f>Futtermittel!E10</f>
        <v>9</v>
      </c>
      <c r="D21" s="913" t="str">
        <f>Futtermittel!F10</f>
        <v>DLG 2014</v>
      </c>
      <c r="E21" s="176">
        <f>Futtermittel!G10</f>
        <v>0</v>
      </c>
      <c r="F21" s="176">
        <f>Futtermittel!H10</f>
        <v>880</v>
      </c>
      <c r="G21" s="176">
        <f>Futtermittel!I10</f>
        <v>88</v>
      </c>
      <c r="H21" s="176">
        <f>Futtermittel!J10</f>
        <v>71.28</v>
      </c>
      <c r="I21" s="176">
        <f>Futtermittel!K10</f>
        <v>34.622950819672127</v>
      </c>
      <c r="J21" s="1374">
        <f>Futtermittel!L10</f>
        <v>13.243585723076921</v>
      </c>
      <c r="K21" s="181">
        <f>Futtermittel!N10</f>
        <v>2.3208000000000002</v>
      </c>
      <c r="L21" s="179">
        <f>Futtermittel!O10</f>
        <v>1.5549360000000003</v>
      </c>
      <c r="M21" s="86"/>
      <c r="N21" s="928">
        <f>IF(J21=" "," ",M$16*(J21*(L$17*J21-J$17*L21)/((J$16*(L$17*J21-J$17*L21))+(J$17*(J$16*L21-L$16*J21))))+M$17*((J21*(L$17*J21-J$17*L21)/((J$16*(L$17*J21-J$17*L21))+(J$17*(J$16*L21-L$16*J21))))*((J$16*L21-L$16*J21)/(L$17*J21-J$17*1.00000000000001*L21))))</f>
        <v>12.995193792538954</v>
      </c>
    </row>
    <row r="22" spans="1:31">
      <c r="B22" s="927" t="str">
        <f>Futtermittel!A11</f>
        <v>CCM, 61 % TM über 3 % XF in TM 6% RP DLG 2014</v>
      </c>
      <c r="C22" s="176">
        <f>Futtermittel!E11</f>
        <v>6</v>
      </c>
      <c r="D22" s="913" t="str">
        <f>Futtermittel!F11</f>
        <v>DLG 2014</v>
      </c>
      <c r="E22" s="176">
        <f>Futtermittel!G11</f>
        <v>0</v>
      </c>
      <c r="F22" s="176">
        <f>Futtermittel!H11</f>
        <v>610</v>
      </c>
      <c r="G22" s="176">
        <f>Futtermittel!I11</f>
        <v>61</v>
      </c>
      <c r="H22" s="176">
        <f>Futtermittel!J11</f>
        <v>47.58</v>
      </c>
      <c r="I22" s="176">
        <f>Futtermittel!K11</f>
        <v>24</v>
      </c>
      <c r="J22" s="1374">
        <f>Futtermittel!L11</f>
        <v>9.1966980000000014</v>
      </c>
      <c r="K22" s="181">
        <f>Futtermittel!N11</f>
        <v>1.6087363636363636</v>
      </c>
      <c r="L22" s="179">
        <f>Futtermittel!O11</f>
        <v>1.0778533636363636</v>
      </c>
      <c r="M22" s="86"/>
      <c r="N22" s="928">
        <f>IF(J22=" "," ",M$16*(J22*(L$17*J22-J$17*L22)/((J$16*(L$17*J22-J$17*L22))+(J$17*(J$16*L22-L$16*J22))))+M$17*((J22*(L$17*J22-J$17*L22)/((J$16*(L$17*J22-J$17*L22))+(J$17*(J$16*L22-L$16*J22))))*((J$16*L22-L$16*J22)/(L$17*J22-J$17*1.00000000000001*L22))))</f>
        <v>9.0223599265341718</v>
      </c>
    </row>
    <row r="23" spans="1:31">
      <c r="B23" s="927" t="str">
        <f>Futtermittel!A12</f>
        <v>eigenes CCM 5% RP Ø 2015</v>
      </c>
      <c r="C23" s="176">
        <f>Futtermittel!E12</f>
        <v>5</v>
      </c>
      <c r="D23" s="913" t="str">
        <f>Futtermittel!F12</f>
        <v>Ø 2015</v>
      </c>
      <c r="E23" s="176">
        <f>Futtermittel!G12</f>
        <v>0</v>
      </c>
      <c r="F23" s="176">
        <f>Futtermittel!H12</f>
        <v>604</v>
      </c>
      <c r="G23" s="176">
        <f>Futtermittel!I12</f>
        <v>54.36</v>
      </c>
      <c r="H23" s="176">
        <f>Futtermittel!J12</f>
        <v>44.031600000000005</v>
      </c>
      <c r="I23" s="176">
        <f>Futtermittel!K12</f>
        <v>18.724</v>
      </c>
      <c r="J23" s="1374">
        <f>Futtermittel!L12</f>
        <v>9.3417646879999996</v>
      </c>
      <c r="K23" s="181">
        <f>Futtermittel!N12</f>
        <v>1.4896287272727273</v>
      </c>
      <c r="L23" s="179">
        <f>Futtermittel!O12</f>
        <v>1.042740109090909</v>
      </c>
      <c r="M23" s="86">
        <v>16</v>
      </c>
      <c r="N23" s="928">
        <f t="shared" si="0"/>
        <v>9.1149153484209329</v>
      </c>
    </row>
    <row r="24" spans="1:31">
      <c r="B24" s="927" t="str">
        <f>Futtermittel!A13</f>
        <v xml:space="preserve">Gerste  14% RP </v>
      </c>
      <c r="C24" s="176">
        <f>Futtermittel!E13</f>
        <v>14</v>
      </c>
      <c r="D24" s="913">
        <f>Futtermittel!F13</f>
        <v>0</v>
      </c>
      <c r="E24" s="176">
        <f>Futtermittel!G13</f>
        <v>1</v>
      </c>
      <c r="F24" s="176">
        <f>Futtermittel!H13</f>
        <v>880</v>
      </c>
      <c r="G24" s="176">
        <f>Futtermittel!I13</f>
        <v>138.4</v>
      </c>
      <c r="H24" s="176">
        <f>Futtermittel!J13</f>
        <v>101.032</v>
      </c>
      <c r="I24" s="176">
        <f>Futtermittel!K13</f>
        <v>49.4</v>
      </c>
      <c r="J24" s="1374">
        <f>Futtermittel!L13</f>
        <v>12.668151399999999</v>
      </c>
      <c r="K24" s="181">
        <f>Futtermittel!N13</f>
        <v>4.5493600000000001</v>
      </c>
      <c r="L24" s="179">
        <f>Futtermittel!O13</f>
        <v>3.3210327999999998</v>
      </c>
      <c r="M24" s="86">
        <v>25</v>
      </c>
      <c r="N24" s="928">
        <f t="shared" si="0"/>
        <v>14.181393637435042</v>
      </c>
    </row>
    <row r="25" spans="1:31">
      <c r="B25" s="927" t="str">
        <f>Futtermittel!A14</f>
        <v xml:space="preserve">Gerste  13% RP </v>
      </c>
      <c r="C25" s="176">
        <f>Futtermittel!E14</f>
        <v>13</v>
      </c>
      <c r="D25" s="913">
        <f>Futtermittel!F14</f>
        <v>0</v>
      </c>
      <c r="E25" s="176" t="str">
        <f>Futtermittel!G14</f>
        <v>7</v>
      </c>
      <c r="F25" s="176">
        <f>Futtermittel!H14</f>
        <v>880</v>
      </c>
      <c r="G25" s="176">
        <f>Futtermittel!I14</f>
        <v>128</v>
      </c>
      <c r="H25" s="176">
        <f>Futtermittel!J14</f>
        <v>93.44</v>
      </c>
      <c r="I25" s="176">
        <f>Futtermittel!K14</f>
        <v>52.2</v>
      </c>
      <c r="J25" s="1374">
        <f>Futtermittel!L14</f>
        <v>12.638889899999999</v>
      </c>
      <c r="K25" s="181">
        <f>Futtermittel!N14</f>
        <v>4.3111999999999995</v>
      </c>
      <c r="L25" s="179">
        <f>Futtermittel!O14</f>
        <v>3.1471759999999995</v>
      </c>
      <c r="M25" s="86">
        <v>25</v>
      </c>
      <c r="N25" s="928">
        <f t="shared" si="0"/>
        <v>13.989956845438929</v>
      </c>
    </row>
    <row r="26" spans="1:31">
      <c r="B26" s="927" t="str">
        <f>Futtermittel!A15</f>
        <v xml:space="preserve">Gerste  12% RP </v>
      </c>
      <c r="C26" s="176">
        <f>Futtermittel!E15</f>
        <v>12</v>
      </c>
      <c r="D26" s="913">
        <f>Futtermittel!F15</f>
        <v>0</v>
      </c>
      <c r="E26" s="176" t="str">
        <f>Futtermittel!G15</f>
        <v>19</v>
      </c>
      <c r="F26" s="176">
        <f>Futtermittel!H15</f>
        <v>880</v>
      </c>
      <c r="G26" s="176">
        <f>Futtermittel!I15</f>
        <v>119.3</v>
      </c>
      <c r="H26" s="176">
        <f>Futtermittel!J15</f>
        <v>87.088999999999999</v>
      </c>
      <c r="I26" s="176">
        <f>Futtermittel!K15</f>
        <v>53.3</v>
      </c>
      <c r="J26" s="1374">
        <f>Futtermittel!L15</f>
        <v>12.621783799999999</v>
      </c>
      <c r="K26" s="181">
        <f>Futtermittel!N15</f>
        <v>4.1119699999999995</v>
      </c>
      <c r="L26" s="179">
        <f>Futtermittel!O15</f>
        <v>3.0017380999999994</v>
      </c>
      <c r="M26" s="86">
        <v>25</v>
      </c>
      <c r="N26" s="928">
        <f t="shared" si="0"/>
        <v>13.836220116662243</v>
      </c>
    </row>
    <row r="27" spans="1:31">
      <c r="B27" s="927" t="str">
        <f>Futtermittel!A16</f>
        <v xml:space="preserve">Gerste  11% RP </v>
      </c>
      <c r="C27" s="176">
        <f>Futtermittel!E16</f>
        <v>11</v>
      </c>
      <c r="D27" s="913">
        <f>Futtermittel!F16</f>
        <v>0</v>
      </c>
      <c r="E27" s="176" t="str">
        <f>Futtermittel!G16</f>
        <v>41</v>
      </c>
      <c r="F27" s="176">
        <f>Futtermittel!H16</f>
        <v>880</v>
      </c>
      <c r="G27" s="176">
        <f>Futtermittel!I16</f>
        <v>109.8</v>
      </c>
      <c r="H27" s="176">
        <f>Futtermittel!J16</f>
        <v>80.153999999999996</v>
      </c>
      <c r="I27" s="176">
        <f>Futtermittel!K16</f>
        <v>55.3</v>
      </c>
      <c r="J27" s="1374">
        <f>Futtermittel!L16</f>
        <v>12.5864011</v>
      </c>
      <c r="K27" s="181">
        <f>Futtermittel!N16</f>
        <v>3.8944199999999998</v>
      </c>
      <c r="L27" s="179">
        <f>Futtermittel!O16</f>
        <v>2.8429265999999997</v>
      </c>
      <c r="M27" s="86">
        <v>25</v>
      </c>
      <c r="N27" s="928">
        <f t="shared" si="0"/>
        <v>13.653828943217578</v>
      </c>
    </row>
    <row r="28" spans="1:31">
      <c r="B28" s="934" t="str">
        <f>Futtermittel!A17</f>
        <v>Gerste  10% RP  DLG 2014</v>
      </c>
      <c r="C28" s="937">
        <f>Futtermittel!E17</f>
        <v>10</v>
      </c>
      <c r="D28" s="936" t="str">
        <f>Futtermittel!F17</f>
        <v xml:space="preserve"> DLG 2014</v>
      </c>
      <c r="E28" s="937">
        <f>Futtermittel!G17</f>
        <v>0</v>
      </c>
      <c r="F28" s="937">
        <f>Futtermittel!H17</f>
        <v>870</v>
      </c>
      <c r="G28" s="937">
        <f>Futtermittel!I17</f>
        <v>104</v>
      </c>
      <c r="H28" s="937">
        <f>Futtermittel!J17</f>
        <v>75.92</v>
      </c>
      <c r="I28" s="937">
        <f>Futtermittel!K17</f>
        <v>48</v>
      </c>
      <c r="J28" s="1375">
        <f>Futtermittel!L17</f>
        <v>12.47168224</v>
      </c>
      <c r="K28" s="935">
        <f>Futtermittel!N17</f>
        <v>3.7616000000000001</v>
      </c>
      <c r="L28" s="938">
        <f>Futtermittel!O17</f>
        <v>2.745968</v>
      </c>
      <c r="M28" s="940">
        <v>25</v>
      </c>
      <c r="N28" s="928">
        <f t="shared" si="0"/>
        <v>13.461543110827433</v>
      </c>
    </row>
    <row r="29" spans="1:31">
      <c r="B29" s="927" t="str">
        <f>Futtermittel!A18</f>
        <v>eigene Gerste 11% RP Ø 2016</v>
      </c>
      <c r="C29" s="176">
        <f>Futtermittel!E18</f>
        <v>11</v>
      </c>
      <c r="D29" s="913" t="str">
        <f>Futtermittel!F18</f>
        <v>Ø 2016</v>
      </c>
      <c r="E29" s="176">
        <f>Futtermittel!G18</f>
        <v>0</v>
      </c>
      <c r="F29" s="176">
        <f>Futtermittel!H18</f>
        <v>880</v>
      </c>
      <c r="G29" s="176">
        <f>Futtermittel!I18</f>
        <v>107.8</v>
      </c>
      <c r="H29" s="176">
        <f>Futtermittel!J18</f>
        <v>78.694000000000003</v>
      </c>
      <c r="I29" s="176">
        <f>Futtermittel!K18</f>
        <v>54.4</v>
      </c>
      <c r="J29" s="1374">
        <f>Futtermittel!L18</f>
        <v>12.5725728</v>
      </c>
      <c r="K29" s="181">
        <f>Futtermittel!N18</f>
        <v>3.8486199999999999</v>
      </c>
      <c r="L29" s="179">
        <f>Futtermittel!O18</f>
        <v>2.8094926</v>
      </c>
      <c r="M29" s="86">
        <v>25</v>
      </c>
      <c r="N29" s="928">
        <f t="shared" si="0"/>
        <v>13.609886308458298</v>
      </c>
    </row>
    <row r="30" spans="1:31">
      <c r="B30" s="927" t="str">
        <f>Futtermittel!A19</f>
        <v>eigene Gerste 2 10% RP Ø 2015</v>
      </c>
      <c r="C30" s="176">
        <f>Futtermittel!E19</f>
        <v>10</v>
      </c>
      <c r="D30" s="913" t="str">
        <f>Futtermittel!F19</f>
        <v>Ø 2015</v>
      </c>
      <c r="E30" s="176">
        <f>Futtermittel!G19</f>
        <v>0</v>
      </c>
      <c r="F30" s="176">
        <f>Futtermittel!H19</f>
        <v>880</v>
      </c>
      <c r="G30" s="176">
        <f>Futtermittel!I19</f>
        <v>96.534999999999997</v>
      </c>
      <c r="H30" s="176">
        <f>Futtermittel!J19</f>
        <v>70.470549999999989</v>
      </c>
      <c r="I30" s="176">
        <f>Futtermittel!K19</f>
        <v>53.604999999999997</v>
      </c>
      <c r="J30" s="1374">
        <f>Futtermittel!L19</f>
        <v>12.561978909999999</v>
      </c>
      <c r="K30" s="181">
        <f>Futtermittel!N19</f>
        <v>3.5906514999999999</v>
      </c>
      <c r="L30" s="179">
        <f>Futtermittel!O19</f>
        <v>2.621175595</v>
      </c>
      <c r="M30" s="86">
        <v>25</v>
      </c>
      <c r="N30" s="928">
        <f t="shared" si="0"/>
        <v>13.420867112609086</v>
      </c>
    </row>
    <row r="31" spans="1:31">
      <c r="B31" s="927" t="str">
        <f>Futtermittel!A20</f>
        <v xml:space="preserve">Gerste  10% RP </v>
      </c>
      <c r="C31" s="176">
        <f>Futtermittel!E20</f>
        <v>10</v>
      </c>
      <c r="D31" s="913">
        <f>Futtermittel!F20</f>
        <v>0</v>
      </c>
      <c r="E31" s="176" t="str">
        <f>Futtermittel!G20</f>
        <v>23</v>
      </c>
      <c r="F31" s="176">
        <f>Futtermittel!H20</f>
        <v>880</v>
      </c>
      <c r="G31" s="176">
        <f>Futtermittel!I20</f>
        <v>100.7</v>
      </c>
      <c r="H31" s="176">
        <f>Futtermittel!J20</f>
        <v>73.510999999999996</v>
      </c>
      <c r="I31" s="176">
        <f>Futtermittel!K20</f>
        <v>54</v>
      </c>
      <c r="J31" s="1374">
        <f>Futtermittel!L20</f>
        <v>12.555051500000001</v>
      </c>
      <c r="K31" s="181">
        <f>Futtermittel!N20</f>
        <v>3.6860300000000001</v>
      </c>
      <c r="L31" s="179">
        <f>Futtermittel!O20</f>
        <v>2.6908018999999999</v>
      </c>
      <c r="M31" s="86">
        <v>25</v>
      </c>
      <c r="N31" s="928">
        <f t="shared" si="0"/>
        <v>13.481327875360169</v>
      </c>
    </row>
    <row r="32" spans="1:31">
      <c r="B32" s="927" t="str">
        <f>Futtermittel!A21</f>
        <v xml:space="preserve">Gerste  9% RP </v>
      </c>
      <c r="C32" s="176">
        <f>Futtermittel!E21</f>
        <v>9</v>
      </c>
      <c r="D32" s="913">
        <f>Futtermittel!F21</f>
        <v>0</v>
      </c>
      <c r="E32" s="176" t="str">
        <f>Futtermittel!G21</f>
        <v>9</v>
      </c>
      <c r="F32" s="176">
        <f>Futtermittel!H21</f>
        <v>880</v>
      </c>
      <c r="G32" s="176">
        <f>Futtermittel!I21</f>
        <v>90.6</v>
      </c>
      <c r="H32" s="176">
        <f>Futtermittel!J21</f>
        <v>66.137999999999991</v>
      </c>
      <c r="I32" s="176">
        <f>Futtermittel!K21</f>
        <v>52.3</v>
      </c>
      <c r="J32" s="1374">
        <f>Futtermittel!L21</f>
        <v>12.574137799999999</v>
      </c>
      <c r="K32" s="181">
        <f>Futtermittel!N21</f>
        <v>3.4547399999999997</v>
      </c>
      <c r="L32" s="179">
        <f>Futtermittel!O21</f>
        <v>2.5219601999999997</v>
      </c>
      <c r="M32" s="86">
        <v>25</v>
      </c>
      <c r="N32" s="928">
        <f t="shared" si="0"/>
        <v>13.336700524065147</v>
      </c>
    </row>
    <row r="33" spans="2:14">
      <c r="B33" s="927" t="str">
        <f>Futtermittel!A22</f>
        <v>Gerste öko 9% RP Ø Hessen</v>
      </c>
      <c r="C33" s="176">
        <f>Futtermittel!E22</f>
        <v>9</v>
      </c>
      <c r="D33" s="913" t="str">
        <f>Futtermittel!F22</f>
        <v>Ø Hessen</v>
      </c>
      <c r="E33" s="176" t="str">
        <f>Futtermittel!G22</f>
        <v>100</v>
      </c>
      <c r="F33" s="176">
        <f>Futtermittel!H22</f>
        <v>880</v>
      </c>
      <c r="G33" s="176">
        <f>Futtermittel!I22</f>
        <v>87.3</v>
      </c>
      <c r="H33" s="176">
        <f>Futtermittel!J22</f>
        <v>63.728999999999999</v>
      </c>
      <c r="I33" s="176">
        <f>Futtermittel!K22</f>
        <v>58.7</v>
      </c>
      <c r="J33" s="1374">
        <f>Futtermittel!L22</f>
        <v>12.560165599999998</v>
      </c>
      <c r="K33" s="181">
        <f>Futtermittel!N22</f>
        <v>3.3791699999999998</v>
      </c>
      <c r="L33" s="179">
        <f>Futtermittel!O22</f>
        <v>2.4667941</v>
      </c>
      <c r="M33" s="86">
        <v>37</v>
      </c>
      <c r="N33" s="928">
        <f t="shared" si="0"/>
        <v>13.271882252023957</v>
      </c>
    </row>
    <row r="34" spans="2:14">
      <c r="B34" s="927" t="str">
        <f>Futtermittel!A23</f>
        <v>Gerste Sommer 10% RP Ø Hessen</v>
      </c>
      <c r="C34" s="176">
        <f>Futtermittel!E23</f>
        <v>10</v>
      </c>
      <c r="D34" s="913" t="str">
        <f>Futtermittel!F23</f>
        <v>Ø Hessen</v>
      </c>
      <c r="E34" s="176" t="str">
        <f>Futtermittel!G23</f>
        <v>100</v>
      </c>
      <c r="F34" s="176">
        <f>Futtermittel!H23</f>
        <v>880</v>
      </c>
      <c r="G34" s="176">
        <f>Futtermittel!I23</f>
        <v>99.4</v>
      </c>
      <c r="H34" s="176">
        <f>Futtermittel!J23</f>
        <v>72.561999999999998</v>
      </c>
      <c r="I34" s="176">
        <f>Futtermittel!K23</f>
        <v>49.9</v>
      </c>
      <c r="J34" s="1374">
        <f>Futtermittel!L23</f>
        <v>12.698748999999998</v>
      </c>
      <c r="K34" s="181">
        <f>Futtermittel!N23</f>
        <v>3.6955400000000003</v>
      </c>
      <c r="L34" s="179">
        <f>Futtermittel!O23</f>
        <v>2.6977442000000003</v>
      </c>
      <c r="M34" s="86">
        <v>25</v>
      </c>
      <c r="N34" s="928">
        <f t="shared" si="0"/>
        <v>13.612849398801949</v>
      </c>
    </row>
    <row r="35" spans="2:14">
      <c r="B35" s="934" t="str">
        <f>Futtermittel!A25</f>
        <v>Hafer  11% RP DLG 2014</v>
      </c>
      <c r="C35" s="937">
        <f>Futtermittel!E25</f>
        <v>11</v>
      </c>
      <c r="D35" s="936" t="str">
        <f>Futtermittel!F25</f>
        <v>DLG 2014</v>
      </c>
      <c r="E35" s="937">
        <f>Futtermittel!G25</f>
        <v>0</v>
      </c>
      <c r="F35" s="937">
        <f>Futtermittel!H25</f>
        <v>880</v>
      </c>
      <c r="G35" s="937">
        <f>Futtermittel!I25</f>
        <v>108</v>
      </c>
      <c r="H35" s="937">
        <f>Futtermittel!J25</f>
        <v>95.04</v>
      </c>
      <c r="I35" s="937">
        <f>Futtermittel!K25</f>
        <v>97</v>
      </c>
      <c r="J35" s="1375">
        <f>Futtermittel!L25</f>
        <v>11.675204000000001</v>
      </c>
      <c r="K35" s="935">
        <f>Futtermittel!N25</f>
        <v>4.3744000000000005</v>
      </c>
      <c r="L35" s="938">
        <f>Futtermittel!O25</f>
        <v>4.1556800000000003</v>
      </c>
      <c r="M35" s="940">
        <v>24</v>
      </c>
      <c r="N35" s="928">
        <f t="shared" si="0"/>
        <v>14.115336911442862</v>
      </c>
    </row>
    <row r="36" spans="2:14">
      <c r="B36" s="927" t="str">
        <f>Futtermittel!A26</f>
        <v>eigener Hafer 11% RP Ø 2016</v>
      </c>
      <c r="C36" s="176">
        <f>Futtermittel!E26</f>
        <v>11</v>
      </c>
      <c r="D36" s="913" t="str">
        <f>Futtermittel!F26</f>
        <v>Ø 2016</v>
      </c>
      <c r="E36" s="176">
        <f>Futtermittel!G26</f>
        <v>0</v>
      </c>
      <c r="F36" s="176">
        <f>Futtermittel!H26</f>
        <v>880</v>
      </c>
      <c r="G36" s="176">
        <f>Futtermittel!I26</f>
        <v>110.75</v>
      </c>
      <c r="H36" s="176">
        <f>Futtermittel!J26</f>
        <v>97.46</v>
      </c>
      <c r="I36" s="176">
        <f>Futtermittel!K26</f>
        <v>102.39</v>
      </c>
      <c r="J36" s="1374">
        <f>Futtermittel!L26</f>
        <v>11.254695379999998</v>
      </c>
      <c r="K36" s="181">
        <f>Futtermittel!N26</f>
        <v>4.4756</v>
      </c>
      <c r="L36" s="179">
        <f>Futtermittel!O26</f>
        <v>4.2518199999999995</v>
      </c>
      <c r="M36" s="86">
        <v>24</v>
      </c>
      <c r="N36" s="928">
        <f t="shared" si="0"/>
        <v>13.841655263322547</v>
      </c>
    </row>
    <row r="37" spans="2:14">
      <c r="B37" s="927" t="str">
        <f>Futtermittel!A27</f>
        <v>Hafer  11% RP Ø Hessen</v>
      </c>
      <c r="C37" s="176">
        <f>Futtermittel!E27</f>
        <v>11</v>
      </c>
      <c r="D37" s="913" t="str">
        <f>Futtermittel!F27</f>
        <v>Ø Hessen</v>
      </c>
      <c r="E37" s="176" t="str">
        <f>Futtermittel!G27</f>
        <v>100</v>
      </c>
      <c r="F37" s="176">
        <f>Futtermittel!H27</f>
        <v>880</v>
      </c>
      <c r="G37" s="176">
        <f>Futtermittel!I27</f>
        <v>112.1</v>
      </c>
      <c r="H37" s="176">
        <f>Futtermittel!J27</f>
        <v>98.647999999999996</v>
      </c>
      <c r="I37" s="176">
        <f>Futtermittel!K27</f>
        <v>98.6</v>
      </c>
      <c r="J37" s="1374">
        <f>Futtermittel!L27</f>
        <v>11.50815016</v>
      </c>
      <c r="K37" s="181">
        <f>Futtermittel!N27</f>
        <v>4.5252800000000004</v>
      </c>
      <c r="L37" s="179">
        <f>Futtermittel!O27</f>
        <v>4.2990159999999999</v>
      </c>
      <c r="M37" s="86">
        <v>24</v>
      </c>
      <c r="N37" s="928">
        <f t="shared" si="0"/>
        <v>14.107006507747919</v>
      </c>
    </row>
    <row r="38" spans="2:14">
      <c r="B38" s="927" t="str">
        <f>Futtermittel!A28</f>
        <v>Hirse - Sorghum 10% RP DLG 2014</v>
      </c>
      <c r="C38" s="176">
        <f>Futtermittel!E28</f>
        <v>10</v>
      </c>
      <c r="D38" s="913" t="str">
        <f>Futtermittel!F28</f>
        <v>DLG 2014</v>
      </c>
      <c r="E38" s="176">
        <f>Futtermittel!G28</f>
        <v>0</v>
      </c>
      <c r="F38" s="176">
        <f>Futtermittel!H28</f>
        <v>880</v>
      </c>
      <c r="G38" s="176">
        <f>Futtermittel!I28</f>
        <v>97</v>
      </c>
      <c r="H38" s="176">
        <f>Futtermittel!J28</f>
        <v>71.78</v>
      </c>
      <c r="I38" s="176">
        <f>Futtermittel!K28</f>
        <v>26</v>
      </c>
      <c r="J38" s="1374">
        <f>Futtermittel!L28</f>
        <v>13.747688000000002</v>
      </c>
      <c r="K38" s="181">
        <f>Futtermittel!N28</f>
        <v>2.1349999999999998</v>
      </c>
      <c r="L38" s="179">
        <f>Futtermittel!O28</f>
        <v>1.708</v>
      </c>
      <c r="M38" s="86">
        <v>28.5</v>
      </c>
      <c r="N38" s="928">
        <f t="shared" si="0"/>
        <v>13.579478444498925</v>
      </c>
    </row>
    <row r="39" spans="2:14">
      <c r="B39" s="927" t="str">
        <f>Futtermittel!A29</f>
        <v xml:space="preserve">eigene Hirse - Sorghum 10% RP </v>
      </c>
      <c r="C39" s="176">
        <f>Futtermittel!E29</f>
        <v>10</v>
      </c>
      <c r="D39" s="913">
        <f>Futtermittel!F29</f>
        <v>0</v>
      </c>
      <c r="E39" s="176">
        <f>Futtermittel!G29</f>
        <v>0</v>
      </c>
      <c r="F39" s="176">
        <f>Futtermittel!H29</f>
        <v>880</v>
      </c>
      <c r="G39" s="176">
        <f>Futtermittel!I29</f>
        <v>100</v>
      </c>
      <c r="H39" s="176">
        <f>Futtermittel!J29</f>
        <v>74</v>
      </c>
      <c r="I39" s="176">
        <f>Futtermittel!K29</f>
        <v>56</v>
      </c>
      <c r="J39" s="1374">
        <f>Futtermittel!L29</f>
        <v>13.510816</v>
      </c>
      <c r="K39" s="181">
        <f>Futtermittel!N29</f>
        <v>2.1800000000000002</v>
      </c>
      <c r="L39" s="179">
        <f>Futtermittel!O29</f>
        <v>1.7440000000000002</v>
      </c>
      <c r="M39" s="86">
        <v>28.5</v>
      </c>
      <c r="N39" s="928">
        <f t="shared" si="0"/>
        <v>13.407978351060468</v>
      </c>
    </row>
    <row r="40" spans="2:14">
      <c r="B40" s="934" t="str">
        <f>Futtermittel!A30</f>
        <v>Mais, Körner 9% RP DLG 2014</v>
      </c>
      <c r="C40" s="937">
        <f>Futtermittel!E30</f>
        <v>9</v>
      </c>
      <c r="D40" s="936" t="str">
        <f>Futtermittel!F30</f>
        <v>DLG 2014</v>
      </c>
      <c r="E40" s="937">
        <f>Futtermittel!G30</f>
        <v>0</v>
      </c>
      <c r="F40" s="937">
        <f>Futtermittel!H30</f>
        <v>880</v>
      </c>
      <c r="G40" s="937">
        <f>Futtermittel!I30</f>
        <v>92</v>
      </c>
      <c r="H40" s="937">
        <f>Futtermittel!J30</f>
        <v>75.44</v>
      </c>
      <c r="I40" s="937">
        <f>Futtermittel!K30</f>
        <v>23</v>
      </c>
      <c r="J40" s="1375">
        <f>Futtermittel!L30</f>
        <v>14.186431199999998</v>
      </c>
      <c r="K40" s="935">
        <f>Futtermittel!N30</f>
        <v>2.5611999999999999</v>
      </c>
      <c r="L40" s="938">
        <f>Futtermittel!O30</f>
        <v>2.1770199999999997</v>
      </c>
      <c r="M40" s="940">
        <v>27</v>
      </c>
      <c r="N40" s="928">
        <f t="shared" si="0"/>
        <v>14.408642953075812</v>
      </c>
    </row>
    <row r="41" spans="2:14">
      <c r="B41" s="927" t="str">
        <f>Futtermittel!A31</f>
        <v xml:space="preserve">eigener Mais, Körner </v>
      </c>
      <c r="C41" s="176" t="str">
        <f>Futtermittel!E31</f>
        <v xml:space="preserve"> </v>
      </c>
      <c r="D41" s="913">
        <f>Futtermittel!F31</f>
        <v>0</v>
      </c>
      <c r="E41" s="176">
        <f>Futtermittel!G31</f>
        <v>0</v>
      </c>
      <c r="F41" s="176">
        <f>Futtermittel!H31</f>
        <v>0</v>
      </c>
      <c r="G41" s="176">
        <f>Futtermittel!I31</f>
        <v>0</v>
      </c>
      <c r="H41" s="176" t="str">
        <f>Futtermittel!J31</f>
        <v xml:space="preserve"> </v>
      </c>
      <c r="I41" s="176">
        <f>Futtermittel!K31</f>
        <v>0</v>
      </c>
      <c r="J41" s="1374" t="str">
        <f>Futtermittel!L31</f>
        <v xml:space="preserve"> </v>
      </c>
      <c r="K41" s="181" t="str">
        <f>Futtermittel!N31</f>
        <v xml:space="preserve"> </v>
      </c>
      <c r="L41" s="179" t="str">
        <f>Futtermittel!O31</f>
        <v xml:space="preserve"> </v>
      </c>
      <c r="M41" s="86">
        <v>27</v>
      </c>
      <c r="N41" s="928" t="str">
        <f t="shared" si="0"/>
        <v xml:space="preserve"> </v>
      </c>
    </row>
    <row r="42" spans="2:14">
      <c r="B42" s="927" t="str">
        <f>Futtermittel!A32</f>
        <v>Mais, Körner siliert Ganzkorn 7% RP DLG 2014</v>
      </c>
      <c r="C42" s="176">
        <f>Futtermittel!E32</f>
        <v>7</v>
      </c>
      <c r="D42" s="913" t="str">
        <f>Futtermittel!F32</f>
        <v>DLG 2014</v>
      </c>
      <c r="E42" s="176">
        <f>Futtermittel!G32</f>
        <v>0</v>
      </c>
      <c r="F42" s="176">
        <f>Futtermittel!H32</f>
        <v>650</v>
      </c>
      <c r="G42" s="176">
        <f>Futtermittel!I32</f>
        <v>65</v>
      </c>
      <c r="H42" s="176">
        <f>Futtermittel!J32</f>
        <v>57.85</v>
      </c>
      <c r="I42" s="176">
        <f>Futtermittel!K32</f>
        <v>16</v>
      </c>
      <c r="J42" s="1374">
        <f>Futtermittel!L32</f>
        <v>10.723715000000002</v>
      </c>
      <c r="K42" s="181">
        <f>Futtermittel!N32</f>
        <v>2.0589999999999997</v>
      </c>
      <c r="L42" s="179">
        <f>Futtermittel!O32</f>
        <v>1.7501499999999997</v>
      </c>
      <c r="M42" s="86"/>
      <c r="N42" s="928">
        <f>IF(J42=" "," ",M$16*(J42*(L$17*J42-J$17*L42)/((J$16*(L$17*J42-J$17*L42))+(J$17*(J$16*L42-L$16*J42))))+M$17*((J42*(L$17*J42-J$17*L42)/((J$16*(L$17*J42-J$17*L42))+(J$17*(J$16*L42-L$16*J42))))*((J$16*L42-L$16*J42)/(L$17*J42-J$17*1.00000000000001*L42))))</f>
        <v>10.991478784293886</v>
      </c>
    </row>
    <row r="43" spans="2:14">
      <c r="B43" s="927" t="str">
        <f>Futtermittel!A33</f>
        <v>Mais, Körner siliert geschrotet 6% RP DLG 2014</v>
      </c>
      <c r="C43" s="176">
        <f>Futtermittel!E33</f>
        <v>6</v>
      </c>
      <c r="D43" s="913" t="str">
        <f>Futtermittel!F33</f>
        <v>DLG 2014</v>
      </c>
      <c r="E43" s="176">
        <f>Futtermittel!G33</f>
        <v>0</v>
      </c>
      <c r="F43" s="176">
        <f>Futtermittel!H33</f>
        <v>650</v>
      </c>
      <c r="G43" s="176">
        <f>Futtermittel!I33</f>
        <v>60</v>
      </c>
      <c r="H43" s="176">
        <f>Futtermittel!J33</f>
        <v>54</v>
      </c>
      <c r="I43" s="176">
        <f>Futtermittel!K33</f>
        <v>14</v>
      </c>
      <c r="J43" s="1374">
        <f>Futtermittel!L33</f>
        <v>10.964799999999999</v>
      </c>
      <c r="K43" s="181">
        <f>Futtermittel!N33</f>
        <v>1.9659999999999997</v>
      </c>
      <c r="L43" s="179">
        <f>Futtermittel!O33</f>
        <v>1.3761999999999996</v>
      </c>
      <c r="M43" s="86"/>
      <c r="N43" s="928">
        <f>IF(J43=" "," ",M$16*(J43*(L$17*J43-J$17*L43)/((J$16*(L$17*J43-J$17*L43))+(J$17*(J$16*L43-L$16*J43))))+M$17*((J43*(L$17*J43-J$17*L43)/((J$16*(L$17*J43-J$17*L43))+(J$17*(J$16*L43-L$16*J43))))*((J$16*L43-L$16*J43)/(L$17*J43-J$17*1.00000000000001*L43))))</f>
        <v>10.843954081030331</v>
      </c>
    </row>
    <row r="44" spans="2:14">
      <c r="B44" s="927" t="str">
        <f>Futtermittel!A34</f>
        <v>Mais, siliert  3% RP DLG 2014</v>
      </c>
      <c r="C44" s="176">
        <f>Futtermittel!E34</f>
        <v>3</v>
      </c>
      <c r="D44" s="913" t="str">
        <f>Futtermittel!F34</f>
        <v>DLG 2014</v>
      </c>
      <c r="E44" s="176">
        <f>Futtermittel!G34</f>
        <v>0</v>
      </c>
      <c r="F44" s="176">
        <f>Futtermittel!H34</f>
        <v>350</v>
      </c>
      <c r="G44" s="176">
        <f>Futtermittel!I34</f>
        <v>30</v>
      </c>
      <c r="H44" s="176">
        <f>Futtermittel!J34</f>
        <v>17.7</v>
      </c>
      <c r="I44" s="176">
        <f>Futtermittel!K34</f>
        <v>56</v>
      </c>
      <c r="J44" s="1374">
        <f>Futtermittel!L34</f>
        <v>3.7464999999999997</v>
      </c>
      <c r="K44" s="181">
        <f>Futtermittel!N34</f>
        <v>0.8375454545454547</v>
      </c>
      <c r="L44" s="179">
        <f>Futtermittel!O34</f>
        <v>0.61140818181818191</v>
      </c>
      <c r="M44" s="86"/>
      <c r="N44" s="928">
        <f>IF(J44=" "," ",M$16*(J44*(L$17*J44-J$17*L44)/((J$16*(L$17*J44-J$17*L44))+(J$17*(J$16*L44-L$16*J44))))+M$17*((J44*(L$17*J44-J$17*L44)/((J$16*(L$17*J44-J$17*L44))+(J$17*(J$16*L44-L$16*J44))))*((J$16*L44-L$16*J44)/(L$17*J44-J$17*1.00000000000001*L44))))</f>
        <v>3.8400145925826816</v>
      </c>
    </row>
    <row r="45" spans="2:14">
      <c r="B45" s="927" t="str">
        <f>Futtermittel!A35</f>
        <v xml:space="preserve">eigener Mais, siliert </v>
      </c>
      <c r="C45" s="176" t="str">
        <f>Futtermittel!E35</f>
        <v xml:space="preserve"> </v>
      </c>
      <c r="D45" s="913">
        <f>Futtermittel!F35</f>
        <v>0</v>
      </c>
      <c r="E45" s="176">
        <f>Futtermittel!G35</f>
        <v>0</v>
      </c>
      <c r="F45" s="176">
        <f>Futtermittel!H35</f>
        <v>0</v>
      </c>
      <c r="G45" s="176">
        <f>Futtermittel!I35</f>
        <v>0</v>
      </c>
      <c r="H45" s="176" t="str">
        <f>Futtermittel!J35</f>
        <v xml:space="preserve"> </v>
      </c>
      <c r="I45" s="176">
        <f>Futtermittel!K35</f>
        <v>0</v>
      </c>
      <c r="J45" s="1374" t="str">
        <f>Futtermittel!L35</f>
        <v xml:space="preserve"> </v>
      </c>
      <c r="K45" s="181" t="str">
        <f>Futtermittel!N35</f>
        <v xml:space="preserve"> </v>
      </c>
      <c r="L45" s="179" t="str">
        <f>Futtermittel!O35</f>
        <v xml:space="preserve"> </v>
      </c>
      <c r="M45" s="86"/>
      <c r="N45" s="928" t="str">
        <f>IF(J45=" "," ",M$16*(J45*(L$17*J45-J$17*L45)/((J$16*(L$17*J45-J$17*L45))+(J$17*(J$16*L45-L$16*J45))))+M$17*((J45*(L$17*J45-J$17*L45)/((J$16*(L$17*J45-J$17*L45))+(J$17*(J$16*L45-L$16*J45))))*((J$16*L45-L$16*J45)/(L$17*J45-J$17*1.00000000000001*L45))))</f>
        <v xml:space="preserve"> </v>
      </c>
    </row>
    <row r="46" spans="2:14">
      <c r="B46" s="927" t="str">
        <f>Futtermittel!A36</f>
        <v xml:space="preserve">Roggen  11% RP </v>
      </c>
      <c r="C46" s="176">
        <f>Futtermittel!E36</f>
        <v>11</v>
      </c>
      <c r="D46" s="913">
        <f>Futtermittel!F36</f>
        <v>0</v>
      </c>
      <c r="E46" s="176" t="str">
        <f>Futtermittel!G36</f>
        <v>4</v>
      </c>
      <c r="F46" s="176">
        <f>Futtermittel!H36</f>
        <v>880</v>
      </c>
      <c r="G46" s="176">
        <f>Futtermittel!I36</f>
        <v>112.1</v>
      </c>
      <c r="H46" s="176">
        <f>Futtermittel!J36</f>
        <v>87.438000000000002</v>
      </c>
      <c r="I46" s="176">
        <f>Futtermittel!K36</f>
        <v>24.1</v>
      </c>
      <c r="J46" s="1374">
        <f>Futtermittel!L36</f>
        <v>13.350051919999999</v>
      </c>
      <c r="K46" s="181">
        <f>Futtermittel!N36</f>
        <v>3.9191199999999999</v>
      </c>
      <c r="L46" s="179">
        <f>Futtermittel!O36</f>
        <v>2.7433839999999998</v>
      </c>
      <c r="M46" s="86">
        <v>24.5</v>
      </c>
      <c r="N46" s="928">
        <f t="shared" si="0"/>
        <v>14.22249915372144</v>
      </c>
    </row>
    <row r="47" spans="2:14">
      <c r="B47" s="927" t="str">
        <f>Futtermittel!A37</f>
        <v xml:space="preserve">Roggen  10% RP </v>
      </c>
      <c r="C47" s="176">
        <f>Futtermittel!E37</f>
        <v>10</v>
      </c>
      <c r="D47" s="913">
        <f>Futtermittel!F37</f>
        <v>0</v>
      </c>
      <c r="E47" s="176" t="str">
        <f>Futtermittel!G37</f>
        <v>30</v>
      </c>
      <c r="F47" s="176">
        <f>Futtermittel!H37</f>
        <v>880</v>
      </c>
      <c r="G47" s="176">
        <f>Futtermittel!I37</f>
        <v>98.8</v>
      </c>
      <c r="H47" s="176">
        <f>Futtermittel!J37</f>
        <v>77.064000000000007</v>
      </c>
      <c r="I47" s="176">
        <f>Futtermittel!K37</f>
        <v>24.6</v>
      </c>
      <c r="J47" s="1374">
        <f>Futtermittel!L37</f>
        <v>13.257126720000002</v>
      </c>
      <c r="K47" s="181">
        <f>Futtermittel!N37</f>
        <v>3.5573600000000001</v>
      </c>
      <c r="L47" s="179">
        <f>Futtermittel!O37</f>
        <v>2.8458880000000004</v>
      </c>
      <c r="M47" s="86">
        <v>24.5</v>
      </c>
      <c r="N47" s="928">
        <f t="shared" si="0"/>
        <v>14.239608852052797</v>
      </c>
    </row>
    <row r="48" spans="2:14">
      <c r="B48" s="934" t="str">
        <f>Futtermittel!A38</f>
        <v>Roggen  9% RP DLG 2014</v>
      </c>
      <c r="C48" s="937">
        <f>Futtermittel!E38</f>
        <v>9</v>
      </c>
      <c r="D48" s="936" t="str">
        <f>Futtermittel!F38</f>
        <v>DLG 2014</v>
      </c>
      <c r="E48" s="937">
        <f>Futtermittel!G38</f>
        <v>0</v>
      </c>
      <c r="F48" s="937">
        <f>Futtermittel!H38</f>
        <v>870</v>
      </c>
      <c r="G48" s="937">
        <f>Futtermittel!I38</f>
        <v>91</v>
      </c>
      <c r="H48" s="937">
        <f>Futtermittel!J38</f>
        <v>70.98</v>
      </c>
      <c r="I48" s="937">
        <f>Futtermittel!K38</f>
        <v>23</v>
      </c>
      <c r="J48" s="1375">
        <f>Futtermittel!L38</f>
        <v>13.159755120000002</v>
      </c>
      <c r="K48" s="935">
        <f>Futtermittel!N38</f>
        <v>3.3452000000000002</v>
      </c>
      <c r="L48" s="938">
        <f>Futtermittel!O38</f>
        <v>2.6761600000000003</v>
      </c>
      <c r="M48" s="940">
        <v>24.5</v>
      </c>
      <c r="N48" s="928">
        <f t="shared" si="0"/>
        <v>13.992917394147995</v>
      </c>
    </row>
    <row r="49" spans="2:15">
      <c r="B49" s="927" t="str">
        <f>Futtermittel!A39</f>
        <v>eigener Roggen 9% RP Ø 2016</v>
      </c>
      <c r="C49" s="176">
        <f>Futtermittel!E39</f>
        <v>9</v>
      </c>
      <c r="D49" s="913" t="str">
        <f>Futtermittel!F39</f>
        <v>Ø 2016</v>
      </c>
      <c r="E49" s="176">
        <f>Futtermittel!G39</f>
        <v>0</v>
      </c>
      <c r="F49" s="176">
        <f>Futtermittel!H39</f>
        <v>880</v>
      </c>
      <c r="G49" s="176">
        <f>Futtermittel!I39</f>
        <v>85.04</v>
      </c>
      <c r="H49" s="176">
        <f>Futtermittel!J39</f>
        <v>66.33120000000001</v>
      </c>
      <c r="I49" s="176">
        <f>Futtermittel!K39</f>
        <v>19.36</v>
      </c>
      <c r="J49" s="1374">
        <f>Futtermittel!L39</f>
        <v>13.290114020000001</v>
      </c>
      <c r="K49" s="181">
        <f>Futtermittel!N39</f>
        <v>3.1830880000000001</v>
      </c>
      <c r="L49" s="179">
        <f>Futtermittel!O39</f>
        <v>2.5464704000000005</v>
      </c>
      <c r="M49" s="86">
        <v>24.5</v>
      </c>
      <c r="N49" s="928">
        <f t="shared" si="0"/>
        <v>13.982384937904918</v>
      </c>
    </row>
    <row r="50" spans="2:15">
      <c r="B50" s="927" t="str">
        <f>Futtermittel!A40</f>
        <v xml:space="preserve">Roggen  9% RP </v>
      </c>
      <c r="C50" s="176">
        <f>Futtermittel!E40</f>
        <v>9</v>
      </c>
      <c r="D50" s="913">
        <f>Futtermittel!F40</f>
        <v>0</v>
      </c>
      <c r="E50" s="176" t="str">
        <f>Futtermittel!G40</f>
        <v>37</v>
      </c>
      <c r="F50" s="176">
        <f>Futtermittel!H40</f>
        <v>880</v>
      </c>
      <c r="G50" s="176">
        <f>Futtermittel!I40</f>
        <v>90.2</v>
      </c>
      <c r="H50" s="176">
        <f>Futtermittel!J40</f>
        <v>70.356000000000009</v>
      </c>
      <c r="I50" s="176">
        <f>Futtermittel!K40</f>
        <v>24.6</v>
      </c>
      <c r="J50" s="1374">
        <f>Futtermittel!L40</f>
        <v>13.222380320000001</v>
      </c>
      <c r="K50" s="181">
        <f>Futtermittel!N40</f>
        <v>3.3234400000000002</v>
      </c>
      <c r="L50" s="179">
        <f>Futtermittel!O40</f>
        <v>2.6587520000000002</v>
      </c>
      <c r="M50" s="86">
        <v>24.5</v>
      </c>
      <c r="N50" s="928">
        <f t="shared" si="0"/>
        <v>14.030725487897996</v>
      </c>
    </row>
    <row r="51" spans="2:15">
      <c r="B51" s="927" t="str">
        <f>Futtermittel!A41</f>
        <v xml:space="preserve">Roggen  8% RP </v>
      </c>
      <c r="C51" s="176">
        <f>Futtermittel!E41</f>
        <v>8</v>
      </c>
      <c r="D51" s="913">
        <f>Futtermittel!F41</f>
        <v>0</v>
      </c>
      <c r="E51" s="176" t="str">
        <f>Futtermittel!G41</f>
        <v>29</v>
      </c>
      <c r="F51" s="176">
        <f>Futtermittel!H41</f>
        <v>880</v>
      </c>
      <c r="G51" s="176">
        <f>Futtermittel!I41</f>
        <v>80.099999999999994</v>
      </c>
      <c r="H51" s="176">
        <f>Futtermittel!J41</f>
        <v>62.477999999999994</v>
      </c>
      <c r="I51" s="176">
        <f>Futtermittel!K41</f>
        <v>24.6</v>
      </c>
      <c r="J51" s="1374">
        <f>Futtermittel!L41</f>
        <v>13.198007920000002</v>
      </c>
      <c r="K51" s="181">
        <f>Futtermittel!N41</f>
        <v>3.0487199999999999</v>
      </c>
      <c r="L51" s="179">
        <f>Futtermittel!O41</f>
        <v>2.4389760000000003</v>
      </c>
      <c r="M51" s="86">
        <v>24.5</v>
      </c>
      <c r="N51" s="928">
        <f t="shared" si="0"/>
        <v>13.799692735397052</v>
      </c>
    </row>
    <row r="52" spans="2:15">
      <c r="B52" s="927" t="str">
        <f>Futtermittel!A43</f>
        <v>Triticale 11% RP DLG 2014</v>
      </c>
      <c r="C52" s="176">
        <f>Futtermittel!E43</f>
        <v>11</v>
      </c>
      <c r="D52" s="913" t="str">
        <f>Futtermittel!F43</f>
        <v>DLG 2014</v>
      </c>
      <c r="E52" s="176">
        <f>Futtermittel!G43</f>
        <v>0</v>
      </c>
      <c r="F52" s="176">
        <f>Futtermittel!H43</f>
        <v>870</v>
      </c>
      <c r="G52" s="176">
        <f>Futtermittel!I43</f>
        <v>109</v>
      </c>
      <c r="H52" s="176">
        <f>Futtermittel!J43</f>
        <v>91.56</v>
      </c>
      <c r="I52" s="176">
        <f>Futtermittel!K43</f>
        <v>24</v>
      </c>
      <c r="J52" s="1374">
        <f>Futtermittel!L43</f>
        <v>13.375314000000001</v>
      </c>
      <c r="K52" s="181">
        <f>Futtermittel!N43</f>
        <v>3.5209000000000001</v>
      </c>
      <c r="L52" s="179">
        <f>Futtermittel!O43</f>
        <v>2.9575559999999999</v>
      </c>
      <c r="M52" s="86">
        <v>25</v>
      </c>
      <c r="N52" s="928">
        <f t="shared" si="0"/>
        <v>14.448954264741165</v>
      </c>
    </row>
    <row r="53" spans="2:15">
      <c r="B53" s="927" t="str">
        <f>Futtermittel!A42</f>
        <v xml:space="preserve">Triticale 12% RP </v>
      </c>
      <c r="C53" s="176">
        <f>Futtermittel!E42</f>
        <v>12</v>
      </c>
      <c r="D53" s="913">
        <f>Futtermittel!F42</f>
        <v>0</v>
      </c>
      <c r="E53" s="176" t="str">
        <f>Futtermittel!G42</f>
        <v>5</v>
      </c>
      <c r="F53" s="176">
        <f>Futtermittel!H42</f>
        <v>880</v>
      </c>
      <c r="G53" s="176">
        <f>Futtermittel!I42</f>
        <v>119.4</v>
      </c>
      <c r="H53" s="176">
        <f>Futtermittel!J42</f>
        <v>100.29600000000001</v>
      </c>
      <c r="I53" s="176">
        <f>Futtermittel!K42</f>
        <v>26.4</v>
      </c>
      <c r="J53" s="1374">
        <f>Futtermittel!L42</f>
        <v>13.552366879999999</v>
      </c>
      <c r="K53" s="181">
        <f>Futtermittel!N42</f>
        <v>3.72994</v>
      </c>
      <c r="L53" s="179">
        <f>Futtermittel!O42</f>
        <v>3.1331495999999999</v>
      </c>
      <c r="M53" s="86">
        <v>25</v>
      </c>
      <c r="N53" s="928">
        <f t="shared" si="0"/>
        <v>14.77050032827893</v>
      </c>
    </row>
    <row r="54" spans="2:15">
      <c r="B54" s="927" t="str">
        <f>Futtermittel!A44</f>
        <v>eigene Triticale 10% RP Ø 2016</v>
      </c>
      <c r="C54" s="176">
        <f>Futtermittel!E44</f>
        <v>10</v>
      </c>
      <c r="D54" s="913" t="str">
        <f>Futtermittel!F44</f>
        <v>Ø 2016</v>
      </c>
      <c r="E54" s="176">
        <f>Futtermittel!G44</f>
        <v>0</v>
      </c>
      <c r="F54" s="176">
        <f>Futtermittel!H44</f>
        <v>880</v>
      </c>
      <c r="G54" s="176">
        <f>Futtermittel!I44</f>
        <v>97.2</v>
      </c>
      <c r="H54" s="176">
        <f>Futtermittel!J44</f>
        <v>81.647999999999996</v>
      </c>
      <c r="I54" s="176">
        <f>Futtermittel!K44</f>
        <v>26.4</v>
      </c>
      <c r="J54" s="1374">
        <f>Futtermittel!L44</f>
        <v>13.528545100000001</v>
      </c>
      <c r="K54" s="181">
        <f>Futtermittel!N44</f>
        <v>3.2837200000000002</v>
      </c>
      <c r="L54" s="179">
        <f>Futtermittel!O44</f>
        <v>2.7583248</v>
      </c>
      <c r="M54" s="86">
        <v>25</v>
      </c>
      <c r="N54" s="928">
        <f t="shared" si="0"/>
        <v>14.391900127409606</v>
      </c>
    </row>
    <row r="55" spans="2:15">
      <c r="B55" s="927" t="str">
        <f>Futtermittel!A45</f>
        <v>eigene Triticale 10% RP Ø 2015</v>
      </c>
      <c r="C55" s="176">
        <f>Futtermittel!E45</f>
        <v>10</v>
      </c>
      <c r="D55" s="913" t="str">
        <f>Futtermittel!F45</f>
        <v>Ø 2015</v>
      </c>
      <c r="E55" s="176">
        <f>Futtermittel!G45</f>
        <v>0</v>
      </c>
      <c r="F55" s="176">
        <f>Futtermittel!H45</f>
        <v>880</v>
      </c>
      <c r="G55" s="176">
        <f>Futtermittel!I45</f>
        <v>97.18</v>
      </c>
      <c r="H55" s="176">
        <f>Futtermittel!J45</f>
        <v>81.631200000000007</v>
      </c>
      <c r="I55" s="176">
        <f>Futtermittel!K45</f>
        <v>26.4</v>
      </c>
      <c r="J55" s="1374">
        <f>Futtermittel!L45</f>
        <v>13.516105079999999</v>
      </c>
      <c r="K55" s="181">
        <f>Futtermittel!N45</f>
        <v>3.2833180000000004</v>
      </c>
      <c r="L55" s="179">
        <f>Futtermittel!O45</f>
        <v>2.7579871200000001</v>
      </c>
      <c r="M55" s="86">
        <v>25</v>
      </c>
      <c r="N55" s="928">
        <f t="shared" si="0"/>
        <v>14.380765620654078</v>
      </c>
    </row>
    <row r="56" spans="2:15">
      <c r="B56" s="927" t="str">
        <f>Futtermittel!A46</f>
        <v xml:space="preserve">Triticale 11% RP </v>
      </c>
      <c r="C56" s="176">
        <f>Futtermittel!E46</f>
        <v>11</v>
      </c>
      <c r="D56" s="913">
        <f>Futtermittel!F46</f>
        <v>0</v>
      </c>
      <c r="E56" s="176" t="str">
        <f>Futtermittel!G46</f>
        <v>24</v>
      </c>
      <c r="F56" s="176">
        <f>Futtermittel!H46</f>
        <v>880</v>
      </c>
      <c r="G56" s="176">
        <f>Futtermittel!I46</f>
        <v>108.2</v>
      </c>
      <c r="H56" s="176">
        <f>Futtermittel!J46</f>
        <v>90.888000000000005</v>
      </c>
      <c r="I56" s="176">
        <f>Futtermittel!K46</f>
        <v>26.4</v>
      </c>
      <c r="J56" s="1374">
        <f>Futtermittel!L46</f>
        <v>13.490000479999999</v>
      </c>
      <c r="K56" s="181">
        <f>Futtermittel!N46</f>
        <v>3.50482</v>
      </c>
      <c r="L56" s="179">
        <f>Futtermittel!O46</f>
        <v>2.9440488</v>
      </c>
      <c r="M56" s="86">
        <v>25</v>
      </c>
      <c r="N56" s="928">
        <f t="shared" si="0"/>
        <v>14.535735348413652</v>
      </c>
    </row>
    <row r="57" spans="2:15">
      <c r="B57" s="934" t="str">
        <f>Futtermittel!A47</f>
        <v xml:space="preserve">Triticale 10% RP </v>
      </c>
      <c r="C57" s="937">
        <f>Futtermittel!E47</f>
        <v>10</v>
      </c>
      <c r="D57" s="936">
        <f>Futtermittel!F47</f>
        <v>0</v>
      </c>
      <c r="E57" s="937" t="str">
        <f>Futtermittel!G47</f>
        <v>42</v>
      </c>
      <c r="F57" s="937">
        <f>Futtermittel!H47</f>
        <v>880</v>
      </c>
      <c r="G57" s="937">
        <f>Futtermittel!I47</f>
        <v>99.5</v>
      </c>
      <c r="H57" s="937">
        <f>Futtermittel!J47</f>
        <v>83.58</v>
      </c>
      <c r="I57" s="937">
        <f>Futtermittel!K47</f>
        <v>26.4</v>
      </c>
      <c r="J57" s="1375">
        <f>Futtermittel!L47</f>
        <v>13.46355908</v>
      </c>
      <c r="K57" s="935">
        <f>Futtermittel!N47</f>
        <v>3.3299500000000002</v>
      </c>
      <c r="L57" s="938">
        <f>Futtermittel!O47</f>
        <v>2.797158</v>
      </c>
      <c r="M57" s="940">
        <v>25</v>
      </c>
      <c r="N57" s="928">
        <f t="shared" si="0"/>
        <v>14.372497687989338</v>
      </c>
    </row>
    <row r="58" spans="2:15">
      <c r="B58" s="927" t="str">
        <f>Futtermittel!A48</f>
        <v xml:space="preserve">Triticale 9% RP </v>
      </c>
      <c r="C58" s="176">
        <f>Futtermittel!E48</f>
        <v>9</v>
      </c>
      <c r="D58" s="913">
        <f>Futtermittel!F48</f>
        <v>0</v>
      </c>
      <c r="E58" s="176" t="str">
        <f>Futtermittel!G48</f>
        <v>26</v>
      </c>
      <c r="F58" s="176">
        <f>Futtermittel!H48</f>
        <v>880</v>
      </c>
      <c r="G58" s="176">
        <f>Futtermittel!I48</f>
        <v>90.5</v>
      </c>
      <c r="H58" s="176">
        <f>Futtermittel!J48</f>
        <v>76.02</v>
      </c>
      <c r="I58" s="176">
        <f>Futtermittel!K48</f>
        <v>26.3</v>
      </c>
      <c r="J58" s="1374">
        <f>Futtermittel!L48</f>
        <v>13.43717608</v>
      </c>
      <c r="K58" s="181">
        <f>Futtermittel!N48</f>
        <v>3.1490499999999999</v>
      </c>
      <c r="L58" s="179">
        <f>Futtermittel!O48</f>
        <v>2.6452019999999998</v>
      </c>
      <c r="M58" s="86">
        <v>25</v>
      </c>
      <c r="N58" s="928">
        <f t="shared" si="0"/>
        <v>14.204474355185477</v>
      </c>
    </row>
    <row r="59" spans="2:15">
      <c r="B59" s="927" t="str">
        <f>Futtermittel!A49</f>
        <v xml:space="preserve">Triticale 8% RP </v>
      </c>
      <c r="C59" s="176">
        <f>Futtermittel!E49</f>
        <v>8</v>
      </c>
      <c r="D59" s="913">
        <f>Futtermittel!F49</f>
        <v>0</v>
      </c>
      <c r="E59" s="176" t="str">
        <f>Futtermittel!G49</f>
        <v>3</v>
      </c>
      <c r="F59" s="176">
        <f>Futtermittel!H49</f>
        <v>880</v>
      </c>
      <c r="G59" s="176">
        <f>Futtermittel!I49</f>
        <v>82.1</v>
      </c>
      <c r="H59" s="176">
        <f>Futtermittel!J49</f>
        <v>68.963999999999999</v>
      </c>
      <c r="I59" s="176">
        <f>Futtermittel!K49</f>
        <v>26.4</v>
      </c>
      <c r="J59" s="1374">
        <f>Futtermittel!L49</f>
        <v>13.432776280000001</v>
      </c>
      <c r="K59" s="181">
        <f>Futtermittel!N49</f>
        <v>2.98021</v>
      </c>
      <c r="L59" s="179">
        <f>Futtermittel!O49</f>
        <v>2.5033764000000001</v>
      </c>
      <c r="M59" s="86">
        <v>25</v>
      </c>
      <c r="N59" s="928">
        <f t="shared" si="0"/>
        <v>14.065230288495934</v>
      </c>
    </row>
    <row r="60" spans="2:15">
      <c r="B60" s="927" t="str">
        <f>Futtermittel!A50</f>
        <v>Triticale öko 7% RP Ø Hessen</v>
      </c>
      <c r="C60" s="176">
        <f>Futtermittel!E50</f>
        <v>7</v>
      </c>
      <c r="D60" s="913" t="str">
        <f>Futtermittel!F50</f>
        <v>Ø Hessen</v>
      </c>
      <c r="E60" s="176" t="str">
        <f>Futtermittel!G50</f>
        <v>100</v>
      </c>
      <c r="F60" s="176">
        <f>Futtermittel!H50</f>
        <v>880</v>
      </c>
      <c r="G60" s="176">
        <f>Futtermittel!I50</f>
        <v>72.599999999999994</v>
      </c>
      <c r="H60" s="176">
        <f>Futtermittel!J50</f>
        <v>60.983999999999995</v>
      </c>
      <c r="I60" s="176">
        <f>Futtermittel!K50</f>
        <v>26.4</v>
      </c>
      <c r="J60" s="1374">
        <f>Futtermittel!L50</f>
        <v>13.404177279999999</v>
      </c>
      <c r="K60" s="181">
        <f>Futtermittel!N50</f>
        <v>2.7892599999999996</v>
      </c>
      <c r="L60" s="179">
        <f>Futtermittel!O50</f>
        <v>2.3429783999999998</v>
      </c>
      <c r="M60" s="86">
        <v>36</v>
      </c>
      <c r="N60" s="928">
        <f t="shared" si="0"/>
        <v>13.887220232130316</v>
      </c>
    </row>
    <row r="61" spans="2:15">
      <c r="B61" s="927" t="str">
        <f>Futtermittel!A51</f>
        <v xml:space="preserve">Weizen  14% RP </v>
      </c>
      <c r="C61" s="176">
        <f>Futtermittel!E51</f>
        <v>14</v>
      </c>
      <c r="D61" s="913">
        <f>Futtermittel!F51</f>
        <v>0</v>
      </c>
      <c r="E61" s="176">
        <f>Futtermittel!G51</f>
        <v>2</v>
      </c>
      <c r="F61" s="176">
        <f>Futtermittel!H51</f>
        <v>880</v>
      </c>
      <c r="G61" s="176">
        <f>Futtermittel!I51</f>
        <v>142.1</v>
      </c>
      <c r="H61" s="176">
        <f>Futtermittel!J51</f>
        <v>127.89</v>
      </c>
      <c r="I61" s="176">
        <f>Futtermittel!K51</f>
        <v>26</v>
      </c>
      <c r="J61" s="1374">
        <f>Futtermittel!L51</f>
        <v>13.78648424</v>
      </c>
      <c r="K61" s="181">
        <f>Futtermittel!N51</f>
        <v>3.7162199999999999</v>
      </c>
      <c r="L61" s="179">
        <f>Futtermittel!O51</f>
        <v>3.2702735999999999</v>
      </c>
      <c r="M61" s="86">
        <v>27</v>
      </c>
      <c r="N61" s="928">
        <f t="shared" si="0"/>
        <v>15.10491110798622</v>
      </c>
    </row>
    <row r="62" spans="2:15">
      <c r="B62" s="927" t="str">
        <f>Futtermittel!A52</f>
        <v xml:space="preserve">Weizen  13% RP </v>
      </c>
      <c r="C62" s="176">
        <f>Futtermittel!E52</f>
        <v>13</v>
      </c>
      <c r="D62" s="913">
        <f>Futtermittel!F52</f>
        <v>0</v>
      </c>
      <c r="E62" s="176">
        <f>Futtermittel!G52</f>
        <v>12</v>
      </c>
      <c r="F62" s="176">
        <f>Futtermittel!H52</f>
        <v>880</v>
      </c>
      <c r="G62" s="176">
        <f>Futtermittel!I52</f>
        <v>129.30000000000001</v>
      </c>
      <c r="H62" s="176">
        <f>Futtermittel!J52</f>
        <v>116.37000000000002</v>
      </c>
      <c r="I62" s="176">
        <f>Futtermittel!K52</f>
        <v>26</v>
      </c>
      <c r="J62" s="1374">
        <f>Futtermittel!L52</f>
        <v>13.74159824</v>
      </c>
      <c r="K62" s="181">
        <f>Futtermittel!N52</f>
        <v>3.48326</v>
      </c>
      <c r="L62" s="179">
        <f>Futtermittel!O52</f>
        <v>3.0652688000000001</v>
      </c>
      <c r="M62" s="86">
        <v>27</v>
      </c>
      <c r="N62" s="928">
        <f t="shared" si="0"/>
        <v>14.87015329055145</v>
      </c>
    </row>
    <row r="63" spans="2:15">
      <c r="B63" s="927" t="str">
        <f>Futtermittel!A53</f>
        <v>Weizen  12% RP DLG 2014</v>
      </c>
      <c r="C63" s="176">
        <f>Futtermittel!E53</f>
        <v>12</v>
      </c>
      <c r="D63" s="913" t="str">
        <f>Futtermittel!F53</f>
        <v>DLG 2014</v>
      </c>
      <c r="E63" s="176">
        <f>Futtermittel!G53</f>
        <v>0</v>
      </c>
      <c r="F63" s="176">
        <f>Futtermittel!H53</f>
        <v>880</v>
      </c>
      <c r="G63" s="176">
        <f>Futtermittel!I53</f>
        <v>123</v>
      </c>
      <c r="H63" s="176">
        <f>Futtermittel!J53</f>
        <v>110.7</v>
      </c>
      <c r="I63" s="176">
        <f>Futtermittel!K53</f>
        <v>25</v>
      </c>
      <c r="J63" s="1374">
        <f>Futtermittel!L53</f>
        <v>13.671705999999999</v>
      </c>
      <c r="K63" s="181">
        <f>Futtermittel!N53</f>
        <v>3.3685999999999998</v>
      </c>
      <c r="L63" s="179">
        <f>Futtermittel!O53</f>
        <v>2.9643679999999999</v>
      </c>
      <c r="M63" s="86">
        <v>27</v>
      </c>
      <c r="N63" s="928">
        <f t="shared" si="0"/>
        <v>14.713063768998515</v>
      </c>
      <c r="O63" s="70"/>
    </row>
    <row r="64" spans="2:15">
      <c r="B64" s="927" t="str">
        <f>Futtermittel!A54</f>
        <v xml:space="preserve">Weizen  12% RP </v>
      </c>
      <c r="C64" s="176">
        <f>Futtermittel!E54</f>
        <v>12</v>
      </c>
      <c r="D64" s="913">
        <f>Futtermittel!F54</f>
        <v>0</v>
      </c>
      <c r="E64" s="176" t="str">
        <f>Futtermittel!G54</f>
        <v>23</v>
      </c>
      <c r="F64" s="176">
        <f>Futtermittel!H54</f>
        <v>880</v>
      </c>
      <c r="G64" s="176">
        <f>Futtermittel!I54</f>
        <v>119.8</v>
      </c>
      <c r="H64" s="176">
        <f>Futtermittel!J54</f>
        <v>107.82</v>
      </c>
      <c r="I64" s="176">
        <f>Futtermittel!K54</f>
        <v>26</v>
      </c>
      <c r="J64" s="1374">
        <f>Futtermittel!L54</f>
        <v>13.662043239999997</v>
      </c>
      <c r="K64" s="181">
        <f>Futtermittel!N54</f>
        <v>3.3103599999999997</v>
      </c>
      <c r="L64" s="179">
        <f>Futtermittel!O54</f>
        <v>2.9131167999999996</v>
      </c>
      <c r="M64" s="86">
        <v>27</v>
      </c>
      <c r="N64" s="928">
        <f t="shared" si="0"/>
        <v>14.655729072799696</v>
      </c>
    </row>
    <row r="65" spans="2:14">
      <c r="B65" s="934" t="str">
        <f>Futtermittel!A55</f>
        <v xml:space="preserve">Weizen  11% RP </v>
      </c>
      <c r="C65" s="937">
        <f>Futtermittel!E55</f>
        <v>11</v>
      </c>
      <c r="D65" s="936">
        <f>Futtermittel!F55</f>
        <v>0</v>
      </c>
      <c r="E65" s="937" t="str">
        <f>Futtermittel!G55</f>
        <v>32</v>
      </c>
      <c r="F65" s="937">
        <f>Futtermittel!H55</f>
        <v>880</v>
      </c>
      <c r="G65" s="937">
        <f>Futtermittel!I55</f>
        <v>109.9</v>
      </c>
      <c r="H65" s="937">
        <f>Futtermittel!J55</f>
        <v>98.910000000000011</v>
      </c>
      <c r="I65" s="937">
        <f>Futtermittel!K55</f>
        <v>26</v>
      </c>
      <c r="J65" s="1375">
        <f>Futtermittel!L55</f>
        <v>13.621335240000002</v>
      </c>
      <c r="K65" s="935">
        <f>Futtermittel!N55</f>
        <v>3.1301800000000002</v>
      </c>
      <c r="L65" s="938">
        <f>Futtermittel!O55</f>
        <v>2.7545584000000001</v>
      </c>
      <c r="M65" s="940">
        <v>27</v>
      </c>
      <c r="N65" s="928">
        <f t="shared" si="0"/>
        <v>14.468951154342378</v>
      </c>
    </row>
    <row r="66" spans="2:14">
      <c r="B66" s="927" t="str">
        <f>Futtermittel!A56</f>
        <v>eigener Weizen 11% RP Ø 2016</v>
      </c>
      <c r="C66" s="176">
        <f>Futtermittel!E56</f>
        <v>11</v>
      </c>
      <c r="D66" s="913" t="str">
        <f>Futtermittel!F56</f>
        <v>Ø 2016</v>
      </c>
      <c r="E66" s="176">
        <f>Futtermittel!G56</f>
        <v>0</v>
      </c>
      <c r="F66" s="176">
        <f>Futtermittel!H56</f>
        <v>880</v>
      </c>
      <c r="G66" s="176">
        <f>Futtermittel!I56</f>
        <v>108.5</v>
      </c>
      <c r="H66" s="176">
        <f>Futtermittel!J56</f>
        <v>97.65</v>
      </c>
      <c r="I66" s="176">
        <f>Futtermittel!K56</f>
        <v>26.2</v>
      </c>
      <c r="J66" s="1374">
        <f>Futtermittel!L56</f>
        <v>13.6816923</v>
      </c>
      <c r="K66" s="181">
        <f>Futtermittel!N56</f>
        <v>3.1047000000000002</v>
      </c>
      <c r="L66" s="179">
        <f>Futtermittel!O56</f>
        <v>2.7321360000000001</v>
      </c>
      <c r="M66" s="86">
        <v>27</v>
      </c>
      <c r="N66" s="928">
        <f t="shared" si="0"/>
        <v>14.5</v>
      </c>
    </row>
    <row r="67" spans="2:14">
      <c r="B67" s="927" t="str">
        <f>Futtermittel!A57</f>
        <v>eigener Weizen 2 11% RP Ø 2015</v>
      </c>
      <c r="C67" s="176">
        <f>Futtermittel!E57</f>
        <v>11</v>
      </c>
      <c r="D67" s="913" t="str">
        <f>Futtermittel!F57</f>
        <v>Ø 2015</v>
      </c>
      <c r="E67" s="176">
        <f>Futtermittel!G57</f>
        <v>0</v>
      </c>
      <c r="F67" s="176">
        <f>Futtermittel!H57</f>
        <v>880</v>
      </c>
      <c r="G67" s="176">
        <f>Futtermittel!I57</f>
        <v>106.47499999999999</v>
      </c>
      <c r="H67" s="176">
        <f>Futtermittel!J57</f>
        <v>95.827500000000001</v>
      </c>
      <c r="I67" s="176">
        <f>Futtermittel!K57</f>
        <v>26.335000000000001</v>
      </c>
      <c r="J67" s="1374">
        <f>Futtermittel!L57</f>
        <v>13.647484240000002</v>
      </c>
      <c r="K67" s="181">
        <f>Futtermittel!N57</f>
        <v>3.0678450000000002</v>
      </c>
      <c r="L67" s="179">
        <f>Futtermittel!O57</f>
        <v>2.6997036000000003</v>
      </c>
      <c r="M67" s="86">
        <v>27</v>
      </c>
      <c r="N67" s="928">
        <f t="shared" si="0"/>
        <v>14.439300930305446</v>
      </c>
    </row>
    <row r="68" spans="2:14">
      <c r="B68" s="927" t="str">
        <f>Futtermittel!A58</f>
        <v xml:space="preserve">Weizen  10% RP </v>
      </c>
      <c r="C68" s="176">
        <f>Futtermittel!E58</f>
        <v>10</v>
      </c>
      <c r="D68" s="913">
        <f>Futtermittel!F58</f>
        <v>0</v>
      </c>
      <c r="E68" s="176" t="str">
        <f>Futtermittel!G58</f>
        <v>19</v>
      </c>
      <c r="F68" s="176">
        <f>Futtermittel!H58</f>
        <v>880</v>
      </c>
      <c r="G68" s="176">
        <f>Futtermittel!I58</f>
        <v>101.1</v>
      </c>
      <c r="H68" s="176">
        <f>Futtermittel!J58</f>
        <v>90.99</v>
      </c>
      <c r="I68" s="176">
        <f>Futtermittel!K58</f>
        <v>26</v>
      </c>
      <c r="J68" s="1374">
        <f>Futtermittel!L58</f>
        <v>13.601399240000001</v>
      </c>
      <c r="K68" s="181">
        <f>Futtermittel!N58</f>
        <v>2.9700199999999999</v>
      </c>
      <c r="L68" s="179">
        <f>Futtermittel!O58</f>
        <v>2.6136176</v>
      </c>
      <c r="M68" s="86">
        <v>27</v>
      </c>
      <c r="N68" s="928">
        <f t="shared" si="0"/>
        <v>14.31704884381314</v>
      </c>
    </row>
    <row r="69" spans="2:14">
      <c r="B69" s="927" t="str">
        <f>Futtermittel!A59</f>
        <v xml:space="preserve">Weizen  9% RP </v>
      </c>
      <c r="C69" s="176">
        <f>Futtermittel!E59</f>
        <v>9</v>
      </c>
      <c r="D69" s="913">
        <f>Futtermittel!F59</f>
        <v>0</v>
      </c>
      <c r="E69" s="176" t="str">
        <f>Futtermittel!G59</f>
        <v>11</v>
      </c>
      <c r="F69" s="176">
        <f>Futtermittel!H59</f>
        <v>880</v>
      </c>
      <c r="G69" s="176">
        <f>Futtermittel!I59</f>
        <v>90.9</v>
      </c>
      <c r="H69" s="176">
        <f>Futtermittel!J59</f>
        <v>81.81</v>
      </c>
      <c r="I69" s="176">
        <f>Futtermittel!K59</f>
        <v>26</v>
      </c>
      <c r="J69" s="1374">
        <f>Futtermittel!L59</f>
        <v>13.55604024</v>
      </c>
      <c r="K69" s="181">
        <f>Futtermittel!N59</f>
        <v>2.7843800000000001</v>
      </c>
      <c r="L69" s="179">
        <f>Futtermittel!O59</f>
        <v>2.4502543999999999</v>
      </c>
      <c r="M69" s="86">
        <v>27</v>
      </c>
      <c r="N69" s="928">
        <f t="shared" si="0"/>
        <v>14.121640779560202</v>
      </c>
    </row>
    <row r="70" spans="2:14">
      <c r="B70" s="927" t="str">
        <f>Futtermittel!A60</f>
        <v xml:space="preserve">Weizen  8% RP </v>
      </c>
      <c r="C70" s="176">
        <f>Futtermittel!E60</f>
        <v>8</v>
      </c>
      <c r="D70" s="913">
        <f>Futtermittel!F60</f>
        <v>0</v>
      </c>
      <c r="E70" s="176" t="str">
        <f>Futtermittel!G60</f>
        <v>2</v>
      </c>
      <c r="F70" s="176">
        <f>Futtermittel!H60</f>
        <v>880</v>
      </c>
      <c r="G70" s="176">
        <f>Futtermittel!I60</f>
        <v>82.6</v>
      </c>
      <c r="H70" s="176">
        <f>Futtermittel!J60</f>
        <v>74.34</v>
      </c>
      <c r="I70" s="176">
        <f>Futtermittel!K60</f>
        <v>27</v>
      </c>
      <c r="J70" s="1374">
        <f>Futtermittel!L60</f>
        <v>13.55440924</v>
      </c>
      <c r="K70" s="181">
        <f>Futtermittel!N60</f>
        <v>2.6333199999999999</v>
      </c>
      <c r="L70" s="179">
        <f>Futtermittel!O60</f>
        <v>2.3173216000000001</v>
      </c>
      <c r="M70" s="86">
        <v>27</v>
      </c>
      <c r="N70" s="928">
        <f t="shared" si="0"/>
        <v>13.993294334800535</v>
      </c>
    </row>
    <row r="71" spans="2:14">
      <c r="B71" s="927" t="str">
        <f>Futtermittel!A61</f>
        <v>Weizen öko 9% RP Ø Hessen</v>
      </c>
      <c r="C71" s="176">
        <f>Futtermittel!E61</f>
        <v>9</v>
      </c>
      <c r="D71" s="913" t="str">
        <f>Futtermittel!F61</f>
        <v>Ø Hessen</v>
      </c>
      <c r="E71" s="176" t="str">
        <f>Futtermittel!G61</f>
        <v>100</v>
      </c>
      <c r="F71" s="176">
        <f>Futtermittel!H61</f>
        <v>880</v>
      </c>
      <c r="G71" s="176">
        <f>Futtermittel!I61</f>
        <v>85.6</v>
      </c>
      <c r="H71" s="176">
        <f>Futtermittel!J61</f>
        <v>77.039999999999992</v>
      </c>
      <c r="I71" s="176">
        <f>Futtermittel!K61</f>
        <v>26</v>
      </c>
      <c r="J71" s="1374">
        <f>Futtermittel!L61</f>
        <v>13.539684240000001</v>
      </c>
      <c r="K71" s="181">
        <f>Futtermittel!N61</f>
        <v>2.6879200000000001</v>
      </c>
      <c r="L71" s="179">
        <f>Futtermittel!O61</f>
        <v>2.3653696000000002</v>
      </c>
      <c r="M71" s="86">
        <v>38</v>
      </c>
      <c r="N71" s="928">
        <f t="shared" si="0"/>
        <v>14.026374206141872</v>
      </c>
    </row>
    <row r="72" spans="2:14">
      <c r="B72" s="927" t="str">
        <f>Futtermittel!A63</f>
        <v>Weizen, (Hart) durum 13% RP DLG 2014</v>
      </c>
      <c r="C72" s="176">
        <f>Futtermittel!E63</f>
        <v>13</v>
      </c>
      <c r="D72" s="913" t="str">
        <f>Futtermittel!F63</f>
        <v>DLG 2014</v>
      </c>
      <c r="E72" s="176">
        <f>Futtermittel!G63</f>
        <v>0</v>
      </c>
      <c r="F72" s="176">
        <f>Futtermittel!H63</f>
        <v>880</v>
      </c>
      <c r="G72" s="176">
        <f>Futtermittel!I63</f>
        <v>133</v>
      </c>
      <c r="H72" s="176">
        <f>Futtermittel!J63</f>
        <v>126.35</v>
      </c>
      <c r="I72" s="176">
        <f>Futtermittel!K63</f>
        <v>26</v>
      </c>
      <c r="J72" s="1374">
        <f>Futtermittel!L63</f>
        <v>14.254094239999997</v>
      </c>
      <c r="K72" s="181">
        <f>Futtermittel!N63</f>
        <v>3.5086000000000004</v>
      </c>
      <c r="L72" s="179">
        <f>Futtermittel!O63</f>
        <v>3.0875680000000005</v>
      </c>
      <c r="M72" s="86">
        <v>36</v>
      </c>
      <c r="N72" s="928">
        <f t="shared" si="0"/>
        <v>15.336874434775449</v>
      </c>
    </row>
    <row r="73" spans="2:14">
      <c r="B73" s="927" t="str">
        <f>Futtermittel!A64</f>
        <v xml:space="preserve">eigener Weizen, (Hart)  </v>
      </c>
      <c r="C73" s="176" t="str">
        <f>Futtermittel!E64</f>
        <v xml:space="preserve"> </v>
      </c>
      <c r="D73" s="913" t="str">
        <f>Futtermittel!F64</f>
        <v/>
      </c>
      <c r="E73" s="176">
        <f>Futtermittel!G64</f>
        <v>0</v>
      </c>
      <c r="F73" s="176">
        <f>Futtermittel!H64</f>
        <v>0</v>
      </c>
      <c r="G73" s="176">
        <f>Futtermittel!I64</f>
        <v>0</v>
      </c>
      <c r="H73" s="176" t="str">
        <f>Futtermittel!J64</f>
        <v xml:space="preserve"> </v>
      </c>
      <c r="I73" s="176">
        <f>Futtermittel!K64</f>
        <v>0</v>
      </c>
      <c r="J73" s="1374" t="str">
        <f>Futtermittel!L64</f>
        <v xml:space="preserve"> </v>
      </c>
      <c r="K73" s="181" t="str">
        <f>Futtermittel!N64</f>
        <v xml:space="preserve"> </v>
      </c>
      <c r="L73" s="179" t="str">
        <f>Futtermittel!O64</f>
        <v xml:space="preserve"> </v>
      </c>
      <c r="M73" s="86">
        <v>36</v>
      </c>
      <c r="N73" s="928" t="str">
        <f t="shared" si="0"/>
        <v xml:space="preserve"> </v>
      </c>
    </row>
    <row r="74" spans="2:14">
      <c r="B74" s="927" t="str">
        <f>Futtermittel!A65</f>
        <v>Altbrot (Brotmehl, getrocknet) 12% RP DLG 2014</v>
      </c>
      <c r="C74" s="176">
        <f>Futtermittel!E65</f>
        <v>12</v>
      </c>
      <c r="D74" s="913" t="str">
        <f>Futtermittel!F65</f>
        <v>DLG 2014</v>
      </c>
      <c r="E74" s="176">
        <f>Futtermittel!G65</f>
        <v>0</v>
      </c>
      <c r="F74" s="176">
        <f>Futtermittel!H65</f>
        <v>800</v>
      </c>
      <c r="G74" s="176">
        <f>Futtermittel!I65</f>
        <v>120</v>
      </c>
      <c r="H74" s="176">
        <f>Futtermittel!J65</f>
        <v>111.60000000000001</v>
      </c>
      <c r="I74" s="176">
        <f>Futtermittel!K65</f>
        <v>12</v>
      </c>
      <c r="J74" s="1374">
        <f>Futtermittel!L65</f>
        <v>13.063631999999998</v>
      </c>
      <c r="K74" s="181">
        <f>Futtermittel!N65</f>
        <v>3.2952727272727271</v>
      </c>
      <c r="L74" s="179">
        <f>Futtermittel!O65</f>
        <v>3.0316509090909092</v>
      </c>
      <c r="M74" s="86">
        <v>31.5</v>
      </c>
      <c r="N74" s="928">
        <f t="shared" si="0"/>
        <v>14.248808404237977</v>
      </c>
    </row>
    <row r="75" spans="2:14">
      <c r="B75" s="927" t="str">
        <f>Futtermittel!A66</f>
        <v xml:space="preserve">eigene Altbrotabfälle </v>
      </c>
      <c r="C75" s="176" t="str">
        <f>Futtermittel!E66</f>
        <v xml:space="preserve"> </v>
      </c>
      <c r="D75" s="913">
        <f>Futtermittel!F66</f>
        <v>0</v>
      </c>
      <c r="E75" s="176">
        <f>Futtermittel!G66</f>
        <v>0</v>
      </c>
      <c r="F75" s="176">
        <f>Futtermittel!H66</f>
        <v>0</v>
      </c>
      <c r="G75" s="176">
        <f>Futtermittel!I66</f>
        <v>0</v>
      </c>
      <c r="H75" s="176" t="str">
        <f>Futtermittel!J66</f>
        <v xml:space="preserve"> </v>
      </c>
      <c r="I75" s="176">
        <f>Futtermittel!K66</f>
        <v>0</v>
      </c>
      <c r="J75" s="1374" t="str">
        <f>Futtermittel!L66</f>
        <v xml:space="preserve"> </v>
      </c>
      <c r="K75" s="181" t="str">
        <f>Futtermittel!N66</f>
        <v xml:space="preserve"> </v>
      </c>
      <c r="L75" s="179" t="str">
        <f>Futtermittel!O66</f>
        <v xml:space="preserve"> </v>
      </c>
      <c r="M75" s="86">
        <v>31.5</v>
      </c>
      <c r="N75" s="928" t="str">
        <f t="shared" si="0"/>
        <v xml:space="preserve"> </v>
      </c>
    </row>
    <row r="76" spans="2:14">
      <c r="B76" s="927" t="str">
        <f>Futtermittel!A68</f>
        <v>Keksmehl 9% RP DLG 2014</v>
      </c>
      <c r="C76" s="176">
        <f>Futtermittel!E68</f>
        <v>9</v>
      </c>
      <c r="D76" s="913" t="str">
        <f>Futtermittel!F68</f>
        <v>DLG 2014</v>
      </c>
      <c r="E76" s="176">
        <f>Futtermittel!G68</f>
        <v>0</v>
      </c>
      <c r="F76" s="176">
        <f>Futtermittel!H68</f>
        <v>860</v>
      </c>
      <c r="G76" s="176">
        <f>Futtermittel!I68</f>
        <v>86</v>
      </c>
      <c r="H76" s="176">
        <f>Futtermittel!J68</f>
        <v>79.98</v>
      </c>
      <c r="I76" s="176">
        <f>Futtermittel!K68</f>
        <v>11</v>
      </c>
      <c r="J76" s="1374">
        <f>Futtermittel!L68</f>
        <v>16.803550999999999</v>
      </c>
      <c r="K76" s="181">
        <f>Futtermittel!N68</f>
        <v>2.1922181818181814</v>
      </c>
      <c r="L76" s="179">
        <f>Futtermittel!O68</f>
        <v>2.0168407272727271</v>
      </c>
      <c r="M76" s="86"/>
      <c r="N76" s="928">
        <f t="shared" si="0"/>
        <v>16.530333086260661</v>
      </c>
    </row>
    <row r="77" spans="2:14">
      <c r="B77" s="927" t="str">
        <f>Futtermittel!A69</f>
        <v xml:space="preserve">eigene Keksmehl </v>
      </c>
      <c r="C77" s="176" t="str">
        <f>Futtermittel!E69</f>
        <v xml:space="preserve"> </v>
      </c>
      <c r="D77" s="913">
        <f>Futtermittel!F69</f>
        <v>0</v>
      </c>
      <c r="E77" s="176">
        <f>Futtermittel!G69</f>
        <v>0</v>
      </c>
      <c r="F77" s="176">
        <f>Futtermittel!H69</f>
        <v>0</v>
      </c>
      <c r="G77" s="176">
        <f>Futtermittel!I69</f>
        <v>0</v>
      </c>
      <c r="H77" s="176" t="str">
        <f>Futtermittel!J69</f>
        <v xml:space="preserve"> </v>
      </c>
      <c r="I77" s="176">
        <f>Futtermittel!K69</f>
        <v>0</v>
      </c>
      <c r="J77" s="1374" t="str">
        <f>Futtermittel!L69</f>
        <v xml:space="preserve"> </v>
      </c>
      <c r="K77" s="181" t="str">
        <f>Futtermittel!N69</f>
        <v xml:space="preserve"> </v>
      </c>
      <c r="L77" s="179" t="str">
        <f>Futtermittel!O69</f>
        <v xml:space="preserve"> </v>
      </c>
      <c r="M77" s="86"/>
      <c r="N77" s="928" t="str">
        <f t="shared" si="0"/>
        <v xml:space="preserve"> </v>
      </c>
    </row>
    <row r="78" spans="2:14" ht="5" customHeight="1">
      <c r="B78" s="927" t="str">
        <f>Futtermittel!A70</f>
        <v xml:space="preserve"> </v>
      </c>
      <c r="C78" s="176" t="str">
        <f>Futtermittel!E70</f>
        <v xml:space="preserve"> </v>
      </c>
      <c r="D78" s="913">
        <f>Futtermittel!F70</f>
        <v>0</v>
      </c>
      <c r="E78" s="176">
        <f>Futtermittel!G70</f>
        <v>0</v>
      </c>
      <c r="F78" s="176">
        <f>Futtermittel!H70</f>
        <v>0</v>
      </c>
      <c r="G78" s="176">
        <f>Futtermittel!I70</f>
        <v>0</v>
      </c>
      <c r="H78" s="176">
        <f>Futtermittel!J70</f>
        <v>0</v>
      </c>
      <c r="I78" s="176">
        <f>Futtermittel!K70</f>
        <v>0</v>
      </c>
      <c r="J78" s="1374">
        <f>Futtermittel!L70</f>
        <v>0</v>
      </c>
      <c r="K78" s="181">
        <f>Futtermittel!N70</f>
        <v>0</v>
      </c>
      <c r="L78" s="179">
        <f>Futtermittel!O70</f>
        <v>0</v>
      </c>
      <c r="M78" s="86"/>
      <c r="N78" s="928"/>
    </row>
    <row r="79" spans="2:14">
      <c r="B79" s="933" t="str">
        <f>Futtermittel!A71</f>
        <v xml:space="preserve">Eiweißreiche Futtermittel </v>
      </c>
      <c r="C79" s="176" t="str">
        <f>Futtermittel!E71</f>
        <v xml:space="preserve"> </v>
      </c>
      <c r="D79" s="913">
        <f>Futtermittel!F71</f>
        <v>0</v>
      </c>
      <c r="E79" s="176">
        <f>Futtermittel!G71</f>
        <v>0</v>
      </c>
      <c r="F79" s="176">
        <f>Futtermittel!H71</f>
        <v>0</v>
      </c>
      <c r="G79" s="176">
        <f>Futtermittel!I71</f>
        <v>0</v>
      </c>
      <c r="H79" s="176">
        <f>Futtermittel!J71</f>
        <v>0</v>
      </c>
      <c r="I79" s="176">
        <f>Futtermittel!K71</f>
        <v>0</v>
      </c>
      <c r="J79" s="1374">
        <f>Futtermittel!L71</f>
        <v>0</v>
      </c>
      <c r="K79" s="181">
        <f>Futtermittel!N71</f>
        <v>0</v>
      </c>
      <c r="L79" s="179">
        <f>Futtermittel!O71</f>
        <v>0</v>
      </c>
      <c r="M79" s="86"/>
      <c r="N79" s="928" t="str">
        <f>IF(J79=0," ",M$16*(J79*(L$17*J79-J$17*L79)/((J$16*(L$17*J79-J$17*L79))+(J$17*(J$16*L79-L$16*J79))))+M$17*((J79*(L$17*J79-J$17*L79)/((J$16*(L$17*J79-J$17*L79))+(J$17*(J$16*L79-L$16*J79))))*((J$16*L79-L$16*J79)/(L$17*J79-J$17*1.00000000000001*L79))))</f>
        <v xml:space="preserve"> </v>
      </c>
    </row>
    <row r="80" spans="2:14" ht="5" customHeight="1">
      <c r="B80" s="927" t="str">
        <f>Futtermittel!A72</f>
        <v xml:space="preserve"> </v>
      </c>
      <c r="C80" s="176" t="str">
        <f>Futtermittel!E72</f>
        <v xml:space="preserve"> </v>
      </c>
      <c r="D80" s="913">
        <f>Futtermittel!F72</f>
        <v>0</v>
      </c>
      <c r="E80" s="176">
        <f>Futtermittel!G72</f>
        <v>0</v>
      </c>
      <c r="F80" s="176">
        <f>Futtermittel!H72</f>
        <v>0</v>
      </c>
      <c r="G80" s="176">
        <f>Futtermittel!I72</f>
        <v>0</v>
      </c>
      <c r="H80" s="176">
        <f>Futtermittel!J72</f>
        <v>0</v>
      </c>
      <c r="I80" s="176">
        <f>Futtermittel!K72</f>
        <v>0</v>
      </c>
      <c r="J80" s="1374">
        <f>Futtermittel!L72</f>
        <v>0</v>
      </c>
      <c r="K80" s="181">
        <f>Futtermittel!N72</f>
        <v>0</v>
      </c>
      <c r="L80" s="179">
        <f>Futtermittel!O72</f>
        <v>0</v>
      </c>
      <c r="M80" s="86"/>
      <c r="N80" s="928"/>
    </row>
    <row r="81" spans="2:14">
      <c r="B81" s="934" t="str">
        <f>Futtermittel!A73</f>
        <v>Ackerbohnen  26% RP DLG 2014</v>
      </c>
      <c r="C81" s="937">
        <f>Futtermittel!E73</f>
        <v>26</v>
      </c>
      <c r="D81" s="936" t="str">
        <f>Futtermittel!F73</f>
        <v>DLG 2014</v>
      </c>
      <c r="E81" s="937">
        <f>Futtermittel!G73</f>
        <v>0</v>
      </c>
      <c r="F81" s="937">
        <f>Futtermittel!H73</f>
        <v>880</v>
      </c>
      <c r="G81" s="937">
        <f>Futtermittel!I73</f>
        <v>264</v>
      </c>
      <c r="H81" s="937">
        <f>Futtermittel!J73</f>
        <v>203.28</v>
      </c>
      <c r="I81" s="937">
        <f>Futtermittel!K73</f>
        <v>77</v>
      </c>
      <c r="J81" s="1375">
        <f>Futtermittel!L73</f>
        <v>12.410639000000002</v>
      </c>
      <c r="K81" s="935">
        <f>Futtermittel!N73</f>
        <v>16.317599999999999</v>
      </c>
      <c r="L81" s="938">
        <f>Futtermittel!O73</f>
        <v>13.380431999999999</v>
      </c>
      <c r="M81" s="940">
        <v>28</v>
      </c>
      <c r="N81" s="928">
        <f t="shared" si="0"/>
        <v>23.562646038751119</v>
      </c>
    </row>
    <row r="82" spans="2:14">
      <c r="B82" s="927" t="str">
        <f>Futtermittel!A74</f>
        <v>eigene Ackerbohnen 27% RP Ø 2016</v>
      </c>
      <c r="C82" s="176">
        <f>Futtermittel!E74</f>
        <v>27</v>
      </c>
      <c r="D82" s="913" t="str">
        <f>Futtermittel!F74</f>
        <v>Ø 2016</v>
      </c>
      <c r="E82" s="176">
        <f>Futtermittel!G74</f>
        <v>0</v>
      </c>
      <c r="F82" s="176">
        <f>Futtermittel!H74</f>
        <v>880</v>
      </c>
      <c r="G82" s="176">
        <f>Futtermittel!I74</f>
        <v>268.60000000000002</v>
      </c>
      <c r="H82" s="176">
        <f>Futtermittel!J74</f>
        <v>206.82200000000003</v>
      </c>
      <c r="I82" s="176">
        <f>Futtermittel!K74</f>
        <v>88</v>
      </c>
      <c r="J82" s="1374">
        <f>Futtermittel!L74</f>
        <v>12.4797384</v>
      </c>
      <c r="K82" s="181">
        <f>Futtermittel!N74</f>
        <v>16.48274</v>
      </c>
      <c r="L82" s="179">
        <f>Futtermittel!O74</f>
        <v>13.515846799999998</v>
      </c>
      <c r="M82" s="86">
        <v>28</v>
      </c>
      <c r="N82" s="928">
        <f t="shared" si="0"/>
        <v>23.752001647245425</v>
      </c>
    </row>
    <row r="83" spans="2:14">
      <c r="B83" s="927" t="str">
        <f>Futtermittel!A75</f>
        <v>Bierhefe, getrocknet 44% RP DLG 2014</v>
      </c>
      <c r="C83" s="176">
        <f>Futtermittel!E75</f>
        <v>44</v>
      </c>
      <c r="D83" s="913" t="str">
        <f>Futtermittel!F75</f>
        <v>DLG 2014</v>
      </c>
      <c r="E83" s="176">
        <f>Futtermittel!G75</f>
        <v>0</v>
      </c>
      <c r="F83" s="176">
        <f>Futtermittel!H75</f>
        <v>880</v>
      </c>
      <c r="G83" s="176">
        <f>Futtermittel!I75</f>
        <v>435</v>
      </c>
      <c r="H83" s="176">
        <f>Futtermittel!J75</f>
        <v>369.75</v>
      </c>
      <c r="I83" s="176">
        <f>Futtermittel!K75</f>
        <v>21.251999999999999</v>
      </c>
      <c r="J83" s="1374">
        <f>Futtermittel!L75</f>
        <v>12.145340000000001</v>
      </c>
      <c r="K83" s="181">
        <f>Futtermittel!N75</f>
        <v>30.8</v>
      </c>
      <c r="L83" s="179">
        <f>Futtermittel!O75</f>
        <v>27.103999999999999</v>
      </c>
      <c r="M83" s="86">
        <v>118</v>
      </c>
      <c r="N83" s="928">
        <f t="shared" si="0"/>
        <v>36.435807234871035</v>
      </c>
    </row>
    <row r="84" spans="2:14">
      <c r="B84" s="927" t="str">
        <f>Futtermittel!A76</f>
        <v>Bierhefe frisch (inaktiviert) 5% RP DLG 2014</v>
      </c>
      <c r="C84" s="176">
        <f>Futtermittel!E76</f>
        <v>5</v>
      </c>
      <c r="D84" s="913" t="str">
        <f>Futtermittel!F76</f>
        <v>DLG 2014</v>
      </c>
      <c r="E84" s="176">
        <f>Futtermittel!G76</f>
        <v>0</v>
      </c>
      <c r="F84" s="176">
        <f>Futtermittel!H76</f>
        <v>100</v>
      </c>
      <c r="G84" s="176">
        <f>Futtermittel!I76</f>
        <v>52.5</v>
      </c>
      <c r="H84" s="176">
        <f>Futtermittel!J76</f>
        <v>44.625</v>
      </c>
      <c r="I84" s="176">
        <f>Futtermittel!K76</f>
        <v>1.7</v>
      </c>
      <c r="J84" s="1374">
        <f>Futtermittel!L76</f>
        <v>1.4284900000000003</v>
      </c>
      <c r="K84" s="181">
        <f>Futtermittel!N76</f>
        <v>3.5000000000000004</v>
      </c>
      <c r="L84" s="179">
        <f>Futtermittel!O76</f>
        <v>3.0800000000000005</v>
      </c>
      <c r="M84" s="86"/>
      <c r="N84" s="928">
        <f t="shared" si="0"/>
        <v>4.1824447337174133</v>
      </c>
    </row>
    <row r="85" spans="2:14">
      <c r="B85" s="927" t="str">
        <f>Futtermittel!A77</f>
        <v xml:space="preserve">eigene Bierhefe </v>
      </c>
      <c r="C85" s="176" t="str">
        <f>Futtermittel!E77</f>
        <v xml:space="preserve"> </v>
      </c>
      <c r="D85" s="913" t="str">
        <f>Futtermittel!F77</f>
        <v/>
      </c>
      <c r="E85" s="176">
        <f>Futtermittel!G77</f>
        <v>0</v>
      </c>
      <c r="F85" s="176">
        <f>Futtermittel!H77</f>
        <v>0</v>
      </c>
      <c r="G85" s="176">
        <f>Futtermittel!I77</f>
        <v>0</v>
      </c>
      <c r="H85" s="176" t="str">
        <f>Futtermittel!J77</f>
        <v xml:space="preserve"> </v>
      </c>
      <c r="I85" s="176">
        <f>Futtermittel!K77</f>
        <v>0</v>
      </c>
      <c r="J85" s="1374" t="str">
        <f>Futtermittel!L77</f>
        <v xml:space="preserve"> </v>
      </c>
      <c r="K85" s="181" t="str">
        <f>Futtermittel!N77</f>
        <v xml:space="preserve"> </v>
      </c>
      <c r="L85" s="179" t="str">
        <f>Futtermittel!O77</f>
        <v xml:space="preserve"> </v>
      </c>
      <c r="M85" s="86"/>
      <c r="N85" s="928" t="str">
        <f>IF(J85=" "," ",M$16*(J85*(L$17*J85-J$17*L85)/((J$16*(L$17*J85-J$17*L85))+(J$17*(J$16*L85-L$16*J85))))+M$17*((J85*(L$17*J85-J$17*L85)/((J$16*(L$17*J85-J$17*L85))+(J$17*(J$16*L85-L$16*J85))))*((J$16*L85-L$16*J85)/(L$17*J85-J$17*1.00000000000001*L85))))</f>
        <v xml:space="preserve"> </v>
      </c>
    </row>
    <row r="86" spans="2:14">
      <c r="B86" s="934" t="str">
        <f>Futtermittel!A78</f>
        <v>Erbsen  22% RP DLG 2014</v>
      </c>
      <c r="C86" s="937">
        <f>Futtermittel!E78</f>
        <v>22</v>
      </c>
      <c r="D86" s="936" t="str">
        <f>Futtermittel!F78</f>
        <v>DLG 2014</v>
      </c>
      <c r="E86" s="937" t="str">
        <f>Futtermittel!G78</f>
        <v>69</v>
      </c>
      <c r="F86" s="937">
        <f>Futtermittel!H78</f>
        <v>880</v>
      </c>
      <c r="G86" s="937">
        <f>Futtermittel!I78</f>
        <v>220</v>
      </c>
      <c r="H86" s="937">
        <f>Futtermittel!J78</f>
        <v>173.8</v>
      </c>
      <c r="I86" s="937">
        <f>Futtermittel!K78</f>
        <v>57</v>
      </c>
      <c r="J86" s="1375">
        <f>Futtermittel!L78</f>
        <v>13.397632520000002</v>
      </c>
      <c r="K86" s="935">
        <f>Futtermittel!N78</f>
        <v>15.776</v>
      </c>
      <c r="L86" s="938">
        <f>Futtermittel!O78</f>
        <v>13.25184</v>
      </c>
      <c r="M86" s="940">
        <v>29.5</v>
      </c>
      <c r="N86" s="928">
        <f t="shared" si="0"/>
        <v>24.297694207132398</v>
      </c>
    </row>
    <row r="87" spans="2:14">
      <c r="B87" s="927" t="str">
        <f>Futtermittel!A79</f>
        <v>eigene Erbsen 21% RP Ø 2016</v>
      </c>
      <c r="C87" s="176">
        <f>Futtermittel!E79</f>
        <v>21</v>
      </c>
      <c r="D87" s="913" t="str">
        <f>Futtermittel!F79</f>
        <v>Ø 2016</v>
      </c>
      <c r="E87" s="176">
        <f>Futtermittel!G79</f>
        <v>0</v>
      </c>
      <c r="F87" s="176">
        <f>Futtermittel!H79</f>
        <v>880</v>
      </c>
      <c r="G87" s="176">
        <f>Futtermittel!I79</f>
        <v>210.9</v>
      </c>
      <c r="H87" s="176">
        <f>Futtermittel!J79</f>
        <v>166.61100000000002</v>
      </c>
      <c r="I87" s="176">
        <f>Futtermittel!K79</f>
        <v>58.3</v>
      </c>
      <c r="J87" s="1374">
        <f>Futtermittel!L79</f>
        <v>13.532380100000001</v>
      </c>
      <c r="K87" s="181">
        <f>Futtermittel!N79</f>
        <v>15.290970000000003</v>
      </c>
      <c r="L87" s="179">
        <f>Futtermittel!O79</f>
        <v>12.844414800000003</v>
      </c>
      <c r="M87" s="86">
        <v>29.5</v>
      </c>
      <c r="N87" s="928">
        <f t="shared" si="0"/>
        <v>24.025784457439126</v>
      </c>
    </row>
    <row r="88" spans="2:14">
      <c r="B88" s="927" t="str">
        <f>Futtermittel!A80</f>
        <v xml:space="preserve">Erbsen  19% RP </v>
      </c>
      <c r="C88" s="176">
        <f>Futtermittel!E80</f>
        <v>19</v>
      </c>
      <c r="D88" s="913">
        <f>Futtermittel!F80</f>
        <v>0</v>
      </c>
      <c r="E88" s="176" t="str">
        <f>Futtermittel!G80</f>
        <v>31</v>
      </c>
      <c r="F88" s="176">
        <f>Futtermittel!H80</f>
        <v>880</v>
      </c>
      <c r="G88" s="176">
        <f>Futtermittel!I80</f>
        <v>191.8</v>
      </c>
      <c r="H88" s="176">
        <f>Futtermittel!J80</f>
        <v>163.03</v>
      </c>
      <c r="I88" s="176">
        <f>Futtermittel!K80</f>
        <v>58.9</v>
      </c>
      <c r="J88" s="1374">
        <f>Futtermittel!L80</f>
        <v>13.4001073</v>
      </c>
      <c r="K88" s="181">
        <f>Futtermittel!N80</f>
        <v>14.272940000000002</v>
      </c>
      <c r="L88" s="179">
        <f>Futtermittel!O80</f>
        <v>11.989269600000002</v>
      </c>
      <c r="M88" s="86">
        <v>29.5</v>
      </c>
      <c r="N88" s="928">
        <f t="shared" si="0"/>
        <v>23.094298790803979</v>
      </c>
    </row>
    <row r="89" spans="2:14">
      <c r="B89" s="927" t="str">
        <f>Futtermittel!A81</f>
        <v>Fischmehl 57% RP DLG 2014</v>
      </c>
      <c r="C89" s="176">
        <f>Futtermittel!E81</f>
        <v>57</v>
      </c>
      <c r="D89" s="913" t="str">
        <f>Futtermittel!F81</f>
        <v>DLG 2014</v>
      </c>
      <c r="E89" s="176">
        <f>Futtermittel!G81</f>
        <v>0</v>
      </c>
      <c r="F89" s="176">
        <f>Futtermittel!H81</f>
        <v>910</v>
      </c>
      <c r="G89" s="176">
        <f>Futtermittel!I81</f>
        <v>573</v>
      </c>
      <c r="H89" s="176">
        <f>Futtermittel!J81</f>
        <v>475.59</v>
      </c>
      <c r="I89" s="176">
        <f>Futtermittel!K81</f>
        <v>14</v>
      </c>
      <c r="J89" s="1374">
        <f>Futtermittel!L81</f>
        <v>12.817102000000002</v>
      </c>
      <c r="K89" s="181">
        <f>Futtermittel!N81</f>
        <v>37.652699999999989</v>
      </c>
      <c r="L89" s="179">
        <f>Futtermittel!O81</f>
        <v>32.757848999999993</v>
      </c>
      <c r="M89" s="86">
        <v>130</v>
      </c>
      <c r="N89" s="928">
        <f t="shared" ref="N89:N121" si="1">IF(J89=" "," ",M$16*(J89*(L$17*J89-J$17*L89)/((J$16*(L$17*J89-J$17*L89))+(J$17*(J$16*L89-L$16*J89))))+M$17*((J89*(L$17*J89-J$17*L89)/((J$16*(L$17*J89-J$17*L89))+(J$17*(J$16*L89-L$16*J89))))*((J$16*L89-L$16*J89)/(L$17*J89-J$17*1.00000000000001*L89))))</f>
        <v>42.418152850539762</v>
      </c>
    </row>
    <row r="90" spans="2:14">
      <c r="B90" s="927" t="str">
        <f>Futtermittel!A82</f>
        <v>Fischmehl proteinreich 69% RP DLG 2014</v>
      </c>
      <c r="C90" s="176">
        <f>Futtermittel!E82</f>
        <v>69</v>
      </c>
      <c r="D90" s="913" t="str">
        <f>Futtermittel!F82</f>
        <v>DLG 2014</v>
      </c>
      <c r="E90" s="176">
        <f>Futtermittel!G82</f>
        <v>0</v>
      </c>
      <c r="F90" s="176">
        <f>Futtermittel!H82</f>
        <v>910</v>
      </c>
      <c r="G90" s="176">
        <f>Futtermittel!I82</f>
        <v>692</v>
      </c>
      <c r="H90" s="176">
        <f>Futtermittel!J82</f>
        <v>622.80000000000007</v>
      </c>
      <c r="I90" s="176">
        <f>Futtermittel!K82</f>
        <v>6</v>
      </c>
      <c r="J90" s="1374">
        <f>Futtermittel!L82</f>
        <v>14.527984999999999</v>
      </c>
      <c r="K90" s="181">
        <f>Futtermittel!N82</f>
        <v>50.433300000000003</v>
      </c>
      <c r="L90" s="179">
        <f>Futtermittel!O82</f>
        <v>44.885637000000003</v>
      </c>
      <c r="M90" s="86">
        <v>130</v>
      </c>
      <c r="N90" s="928">
        <f t="shared" si="1"/>
        <v>55.485179865664193</v>
      </c>
    </row>
    <row r="91" spans="2:14">
      <c r="B91" s="927" t="str">
        <f>Futtermittel!A83</f>
        <v>Fischmehl vom Hering 66% RP DLG 2014</v>
      </c>
      <c r="C91" s="176">
        <f>Futtermittel!E83</f>
        <v>66</v>
      </c>
      <c r="D91" s="913" t="str">
        <f>Futtermittel!F83</f>
        <v>DLG 2014</v>
      </c>
      <c r="E91" s="176">
        <f>Futtermittel!G83</f>
        <v>0</v>
      </c>
      <c r="F91" s="176">
        <f>Futtermittel!H83</f>
        <v>910</v>
      </c>
      <c r="G91" s="176">
        <f>Futtermittel!I83</f>
        <v>655</v>
      </c>
      <c r="H91" s="176">
        <f>Futtermittel!J83</f>
        <v>589.5</v>
      </c>
      <c r="I91" s="176">
        <f>Futtermittel!K83</f>
        <v>0</v>
      </c>
      <c r="J91" s="1374">
        <f>Futtermittel!L83</f>
        <v>15.382954</v>
      </c>
      <c r="K91" s="181">
        <f>Futtermittel!N83</f>
        <v>46.459499999999998</v>
      </c>
      <c r="L91" s="179">
        <f>Futtermittel!O83</f>
        <v>41.348954999999997</v>
      </c>
      <c r="M91" s="86"/>
      <c r="N91" s="928">
        <f>IF(J91=" "," ",M$16*(J91*(L$17*J91-J$17*L91)/((J$16*(L$17*J91-J$17*L91))+(J$17*(J$16*L91-L$16*J91))))+M$17*((J91*(L$17*J91-J$17*L91)/((J$16*(L$17*J91-J$17*L91))+(J$17*(J$16*L91-L$16*J91))))*((J$16*L91-L$16*J91)/(L$17*J91-J$17*1.00000000000001*L91))))</f>
        <v>52.851317248896173</v>
      </c>
    </row>
    <row r="92" spans="2:14">
      <c r="B92" s="927" t="str">
        <f>Futtermittel!A84</f>
        <v xml:space="preserve">eigenes Fischmehl </v>
      </c>
      <c r="C92" s="176" t="str">
        <f>Futtermittel!E84</f>
        <v xml:space="preserve"> </v>
      </c>
      <c r="D92" s="913">
        <f>Futtermittel!F84</f>
        <v>0</v>
      </c>
      <c r="E92" s="176">
        <f>Futtermittel!G84</f>
        <v>0</v>
      </c>
      <c r="F92" s="176">
        <f>Futtermittel!H84</f>
        <v>0</v>
      </c>
      <c r="G92" s="176">
        <f>Futtermittel!I84</f>
        <v>0</v>
      </c>
      <c r="H92" s="176" t="str">
        <f>Futtermittel!J84</f>
        <v xml:space="preserve"> </v>
      </c>
      <c r="I92" s="176">
        <f>Futtermittel!K84</f>
        <v>0</v>
      </c>
      <c r="J92" s="1374" t="str">
        <f>Futtermittel!L84</f>
        <v xml:space="preserve"> </v>
      </c>
      <c r="K92" s="181" t="str">
        <f>Futtermittel!N84</f>
        <v xml:space="preserve"> </v>
      </c>
      <c r="L92" s="179" t="str">
        <f>Futtermittel!O84</f>
        <v xml:space="preserve"> </v>
      </c>
      <c r="M92" s="86">
        <v>130</v>
      </c>
      <c r="N92" s="928" t="str">
        <f t="shared" si="1"/>
        <v xml:space="preserve"> </v>
      </c>
    </row>
    <row r="93" spans="2:14">
      <c r="B93" s="927" t="str">
        <f>Futtermittel!A85</f>
        <v>Kartoffeleiweiß 38% RP DLG 2014</v>
      </c>
      <c r="C93" s="176">
        <f>Futtermittel!E85</f>
        <v>38</v>
      </c>
      <c r="D93" s="913" t="str">
        <f>Futtermittel!F85</f>
        <v>DLG 2014</v>
      </c>
      <c r="E93" s="176">
        <f>Futtermittel!G85</f>
        <v>0</v>
      </c>
      <c r="F93" s="176">
        <f>Futtermittel!H85</f>
        <v>910</v>
      </c>
      <c r="G93" s="176">
        <f>Futtermittel!I85</f>
        <v>765</v>
      </c>
      <c r="H93" s="176">
        <f>Futtermittel!J85</f>
        <v>355.32</v>
      </c>
      <c r="I93" s="176">
        <f>Futtermittel!K85</f>
        <v>7</v>
      </c>
      <c r="J93" s="1374">
        <f>Futtermittel!L85</f>
        <v>13.606580000000003</v>
      </c>
      <c r="K93" s="181">
        <f>Futtermittel!N85</f>
        <v>23.862200000000001</v>
      </c>
      <c r="L93" s="179">
        <f>Futtermittel!O85</f>
        <v>16.225560000000002</v>
      </c>
      <c r="M93" s="86">
        <v>121</v>
      </c>
      <c r="N93" s="928">
        <f>IF(J93=" "," ",M$16*(J93*(L$17*J93-J$17*L93)/((J$16*(L$17*J93-J$17*L93))+(J$17*(J$16*L93-L$16*J93))))+M$17*((J93*(L$17*J93-J$17*L93)/((J$16*(L$17*J93-J$17*L93))+(J$17*(J$16*L93-L$16*J93))))*((J$16*L93-L$16*J93)/(L$17*J93-J$17*1.00000000000001*L93))))</f>
        <v>27.318709905809765</v>
      </c>
    </row>
    <row r="94" spans="2:14">
      <c r="B94" s="927" t="str">
        <f>Futtermittel!A86</f>
        <v xml:space="preserve">eigenes Kartoffeleiweiß </v>
      </c>
      <c r="C94" s="176" t="str">
        <f>Futtermittel!E86</f>
        <v xml:space="preserve"> </v>
      </c>
      <c r="D94" s="913">
        <f>Futtermittel!F86</f>
        <v>0</v>
      </c>
      <c r="E94" s="176">
        <f>Futtermittel!G86</f>
        <v>0</v>
      </c>
      <c r="F94" s="176">
        <f>Futtermittel!H86</f>
        <v>0</v>
      </c>
      <c r="G94" s="176">
        <f>Futtermittel!I86</f>
        <v>0</v>
      </c>
      <c r="H94" s="176" t="str">
        <f>Futtermittel!J86</f>
        <v xml:space="preserve"> </v>
      </c>
      <c r="I94" s="176">
        <f>Futtermittel!K86</f>
        <v>0</v>
      </c>
      <c r="J94" s="1374" t="str">
        <f>Futtermittel!L86</f>
        <v xml:space="preserve"> </v>
      </c>
      <c r="K94" s="181" t="str">
        <f>Futtermittel!N86</f>
        <v xml:space="preserve"> </v>
      </c>
      <c r="L94" s="179" t="str">
        <f>Futtermittel!O86</f>
        <v xml:space="preserve"> </v>
      </c>
      <c r="M94" s="86">
        <v>121</v>
      </c>
      <c r="N94" s="928" t="str">
        <f>IF(J94=" "," ",M$16*(J94*(L$17*J94-J$17*L94)/((J$16*(L$17*J94-J$17*L94))+(J$17*(J$16*L94-L$16*J94))))+M$17*((J94*(L$17*J94-J$17*L94)/((J$16*(L$17*J94-J$17*L94))+(J$17*(J$16*L94-L$16*J94))))*((J$16*L94-L$16*J94)/(L$17*J94-J$17*1.00000000000001*L94))))</f>
        <v xml:space="preserve"> </v>
      </c>
    </row>
    <row r="95" spans="2:14">
      <c r="B95" s="927" t="str">
        <f>Futtermittel!A87</f>
        <v>Lein, Samen 21% RP DLG 2014</v>
      </c>
      <c r="C95" s="176">
        <f>Futtermittel!E87</f>
        <v>21</v>
      </c>
      <c r="D95" s="913" t="str">
        <f>Futtermittel!F87</f>
        <v>DLG 2014</v>
      </c>
      <c r="E95" s="176">
        <f>Futtermittel!G87</f>
        <v>0</v>
      </c>
      <c r="F95" s="176">
        <f>Futtermittel!H87</f>
        <v>910</v>
      </c>
      <c r="G95" s="176">
        <f>Futtermittel!I87</f>
        <v>207</v>
      </c>
      <c r="H95" s="176">
        <f>Futtermittel!J87</f>
        <v>159.39000000000001</v>
      </c>
      <c r="I95" s="176">
        <f>Futtermittel!K87</f>
        <v>64</v>
      </c>
      <c r="J95" s="1374">
        <f>Futtermittel!L87</f>
        <v>12.477544000000002</v>
      </c>
      <c r="K95" s="181">
        <f>Futtermittel!N87</f>
        <v>8.8424999999999994</v>
      </c>
      <c r="L95" s="179">
        <f>Futtermittel!O87</f>
        <v>7.3392749999999989</v>
      </c>
      <c r="M95" s="86">
        <v>62.5</v>
      </c>
      <c r="N95" s="928">
        <f>IF(J95=" "," ",M$16*(J95*(L$17*J95-J$17*L95)/((J$16*(L$17*J95-J$17*L95))+(J$17*(J$16*L95-L$16*J95))))+M$17*((J95*(L$17*J95-J$17*L95)/((J$16*(L$17*J95-J$17*L95))+(J$17*(J$16*L95-L$16*J95))))*((J$16*L95-L$16*J95)/(L$17*J95-J$17*1.00000000000001*L95))))</f>
        <v>17.852487818504695</v>
      </c>
    </row>
    <row r="96" spans="2:14">
      <c r="B96" s="927" t="str">
        <f>Futtermittel!A88</f>
        <v>Leinextaktionschrot 34% RP DLG 2014</v>
      </c>
      <c r="C96" s="176">
        <f>Futtermittel!E88</f>
        <v>34</v>
      </c>
      <c r="D96" s="913" t="str">
        <f>Futtermittel!F88</f>
        <v>DLG 2014</v>
      </c>
      <c r="E96" s="176">
        <f>Futtermittel!G88</f>
        <v>0</v>
      </c>
      <c r="F96" s="176">
        <f>Futtermittel!H88</f>
        <v>890</v>
      </c>
      <c r="G96" s="176">
        <f>Futtermittel!I88</f>
        <v>338</v>
      </c>
      <c r="H96" s="176">
        <f>Futtermittel!J88</f>
        <v>223.08</v>
      </c>
      <c r="I96" s="176">
        <f>Futtermittel!K88</f>
        <v>93</v>
      </c>
      <c r="J96" s="1374">
        <f>Futtermittel!L88</f>
        <v>10.85977428</v>
      </c>
      <c r="K96" s="181">
        <f>Futtermittel!N88</f>
        <v>12.445</v>
      </c>
      <c r="L96" s="179">
        <f>Futtermittel!O88</f>
        <v>7.9648000000000003</v>
      </c>
      <c r="M96" s="86">
        <v>42</v>
      </c>
      <c r="N96" s="928">
        <f>IF(J96=" "," ",M$16*(J96*(L$17*J96-J$17*L96)/((J$16*(L$17*J96-J$17*L96))+(J$17*(J$16*L96-L$16*J96))))+M$17*((J96*(L$17*J96-J$17*L96)/((J$16*(L$17*J96-J$17*L96))+(J$17*(J$16*L96-L$16*J96))))*((J$16*L96-L$16*J96)/(L$17*J96-J$17*1.00000000000001*L96))))</f>
        <v>17.043697890815174</v>
      </c>
    </row>
    <row r="97" spans="1:14">
      <c r="B97" s="927" t="str">
        <f>Futtermittel!A89</f>
        <v>Leinkuchen / Expeller 4-8% Fett 33% RP DLG 2014</v>
      </c>
      <c r="C97" s="176">
        <f>Futtermittel!E89</f>
        <v>33</v>
      </c>
      <c r="D97" s="913" t="str">
        <f>Futtermittel!F89</f>
        <v>DLG 2014</v>
      </c>
      <c r="E97" s="176">
        <f>Futtermittel!G89</f>
        <v>0</v>
      </c>
      <c r="F97" s="176">
        <f>Futtermittel!H89</f>
        <v>900</v>
      </c>
      <c r="G97" s="176">
        <f>Futtermittel!I89</f>
        <v>333</v>
      </c>
      <c r="H97" s="176">
        <f>Futtermittel!J89</f>
        <v>249.75</v>
      </c>
      <c r="I97" s="176">
        <f>Futtermittel!K89</f>
        <v>95</v>
      </c>
      <c r="J97" s="1374">
        <f>Futtermittel!L89</f>
        <v>11.627713</v>
      </c>
      <c r="K97" s="181">
        <f>Futtermittel!N89</f>
        <v>12.307500000000001</v>
      </c>
      <c r="L97" s="179">
        <f>Futtermittel!O89</f>
        <v>10.09215</v>
      </c>
      <c r="M97" s="86">
        <v>64</v>
      </c>
      <c r="N97" s="928">
        <f>IF(J97=" "," ",M$16*(J97*(L$17*J97-J$17*L97)/((J$16*(L$17*J97-J$17*L97))+(J$17*(J$16*L97-L$16*J97))))+M$17*((J97*(L$17*J97-J$17*L97)/((J$16*(L$17*J97-J$17*L97))+(J$17*(J$16*L97-L$16*J97))))*((J$16*L97-L$16*J97)/(L$17*J97-J$17*1.00000000000001*L97))))</f>
        <v>19.742409745942989</v>
      </c>
    </row>
    <row r="98" spans="1:14">
      <c r="B98" s="927" t="str">
        <f>Futtermittel!A90</f>
        <v>Lupinen blau 30% RP DLG 2014</v>
      </c>
      <c r="C98" s="176">
        <f>Futtermittel!E90</f>
        <v>30</v>
      </c>
      <c r="D98" s="913" t="str">
        <f>Futtermittel!F90</f>
        <v>DLG 2014</v>
      </c>
      <c r="E98" s="176">
        <f>Futtermittel!G90</f>
        <v>0</v>
      </c>
      <c r="F98" s="176">
        <f>Futtermittel!H90</f>
        <v>880</v>
      </c>
      <c r="G98" s="176">
        <f>Futtermittel!I90</f>
        <v>295</v>
      </c>
      <c r="H98" s="176">
        <f>Futtermittel!J90</f>
        <v>250.75</v>
      </c>
      <c r="I98" s="176">
        <f>Futtermittel!K90</f>
        <v>143</v>
      </c>
      <c r="J98" s="1374">
        <f>Futtermittel!L90</f>
        <v>13.468937999999998</v>
      </c>
      <c r="K98" s="181">
        <f>Futtermittel!N90</f>
        <v>13.6225</v>
      </c>
      <c r="L98" s="179">
        <f>Futtermittel!O90</f>
        <v>11.4429</v>
      </c>
      <c r="M98" s="86">
        <v>30</v>
      </c>
      <c r="N98" s="928">
        <f t="shared" si="1"/>
        <v>22.632429292165988</v>
      </c>
    </row>
    <row r="99" spans="1:14">
      <c r="B99" s="927" t="str">
        <f>Futtermittel!A91</f>
        <v>Lupinen gelb 38% RP DLG 2014</v>
      </c>
      <c r="C99" s="176">
        <f>Futtermittel!E91</f>
        <v>38</v>
      </c>
      <c r="D99" s="913" t="str">
        <f>Futtermittel!F91</f>
        <v>DLG 2014</v>
      </c>
      <c r="E99" s="176">
        <f>Futtermittel!G91</f>
        <v>0</v>
      </c>
      <c r="F99" s="176">
        <f>Futtermittel!H91</f>
        <v>880</v>
      </c>
      <c r="G99" s="176">
        <f>Futtermittel!I91</f>
        <v>378</v>
      </c>
      <c r="H99" s="176">
        <f>Futtermittel!J91</f>
        <v>332.64</v>
      </c>
      <c r="I99" s="176">
        <f>Futtermittel!K91</f>
        <v>148</v>
      </c>
      <c r="J99" s="1374">
        <f>Futtermittel!L91</f>
        <v>13.606580000000003</v>
      </c>
      <c r="K99" s="181">
        <f>Futtermittel!N91</f>
        <v>18.028400000000001</v>
      </c>
      <c r="L99" s="179">
        <f>Futtermittel!O91</f>
        <v>15.143856000000001</v>
      </c>
      <c r="M99" s="86">
        <v>30</v>
      </c>
      <c r="N99" s="928">
        <f t="shared" si="1"/>
        <v>26.285861126429033</v>
      </c>
    </row>
    <row r="100" spans="1:14">
      <c r="B100" s="927" t="str">
        <f>Futtermittel!A92</f>
        <v>Lupinen weiß 33% RP DLG 2014</v>
      </c>
      <c r="C100" s="176">
        <f>Futtermittel!E92</f>
        <v>33</v>
      </c>
      <c r="D100" s="913" t="str">
        <f>Futtermittel!F92</f>
        <v>DLG 2014</v>
      </c>
      <c r="E100" s="176">
        <f>Futtermittel!G92</f>
        <v>0</v>
      </c>
      <c r="F100" s="176">
        <f>Futtermittel!H92</f>
        <v>880</v>
      </c>
      <c r="G100" s="176">
        <f>Futtermittel!I92</f>
        <v>326</v>
      </c>
      <c r="H100" s="176">
        <f>Futtermittel!J92</f>
        <v>290.14</v>
      </c>
      <c r="I100" s="176">
        <f>Futtermittel!K92</f>
        <v>114</v>
      </c>
      <c r="J100" s="1374">
        <f>Futtermittel!L92</f>
        <v>13.964832880000003</v>
      </c>
      <c r="K100" s="181">
        <f>Futtermittel!N92</f>
        <v>15.5906</v>
      </c>
      <c r="L100" s="179">
        <f>Futtermittel!O92</f>
        <v>13.096104</v>
      </c>
      <c r="M100" s="86">
        <v>30</v>
      </c>
      <c r="N100" s="928">
        <f t="shared" si="1"/>
        <v>24.641966688582709</v>
      </c>
    </row>
    <row r="101" spans="1:14">
      <c r="B101" s="927" t="str">
        <f>Futtermittel!A93</f>
        <v xml:space="preserve">eigene Lupinen (blau) </v>
      </c>
      <c r="C101" s="176" t="str">
        <f>Futtermittel!E93</f>
        <v xml:space="preserve"> </v>
      </c>
      <c r="D101" s="913">
        <f>Futtermittel!F93</f>
        <v>0</v>
      </c>
      <c r="E101" s="176">
        <f>Futtermittel!G93</f>
        <v>0</v>
      </c>
      <c r="F101" s="176">
        <f>Futtermittel!H93</f>
        <v>0</v>
      </c>
      <c r="G101" s="176">
        <f>Futtermittel!I93</f>
        <v>0</v>
      </c>
      <c r="H101" s="176" t="str">
        <f>Futtermittel!J93</f>
        <v xml:space="preserve"> </v>
      </c>
      <c r="I101" s="176">
        <f>Futtermittel!K93</f>
        <v>0</v>
      </c>
      <c r="J101" s="1374" t="str">
        <f>Futtermittel!L93</f>
        <v xml:space="preserve"> </v>
      </c>
      <c r="K101" s="181" t="str">
        <f>Futtermittel!N93</f>
        <v xml:space="preserve"> </v>
      </c>
      <c r="L101" s="179" t="str">
        <f>Futtermittel!O93</f>
        <v xml:space="preserve"> </v>
      </c>
      <c r="M101" s="86">
        <v>30</v>
      </c>
      <c r="N101" s="928" t="str">
        <f t="shared" si="1"/>
        <v xml:space="preserve"> </v>
      </c>
    </row>
    <row r="102" spans="1:14">
      <c r="B102" s="927" t="str">
        <f>Futtermittel!A94</f>
        <v>Malzkeime 27% RP DLG 2005</v>
      </c>
      <c r="C102" s="176">
        <f>Futtermittel!E94</f>
        <v>27</v>
      </c>
      <c r="D102" s="913" t="str">
        <f>Futtermittel!F94</f>
        <v>DLG 2005</v>
      </c>
      <c r="E102" s="176">
        <f>Futtermittel!G94</f>
        <v>0</v>
      </c>
      <c r="F102" s="176">
        <f>Futtermittel!H94</f>
        <v>920</v>
      </c>
      <c r="G102" s="176">
        <f>Futtermittel!I94</f>
        <v>273</v>
      </c>
      <c r="H102" s="176">
        <f>Futtermittel!J94</f>
        <v>204.75</v>
      </c>
      <c r="I102" s="176">
        <f>Futtermittel!K94</f>
        <v>133</v>
      </c>
      <c r="J102" s="1374">
        <f>Futtermittel!L94</f>
        <v>8.2323143999999981</v>
      </c>
      <c r="K102" s="181">
        <f>Futtermittel!N94</f>
        <v>13.548481818181818</v>
      </c>
      <c r="L102" s="179">
        <f>Futtermittel!O94</f>
        <v>9.6194220909090902</v>
      </c>
      <c r="M102" s="86">
        <v>20</v>
      </c>
      <c r="N102" s="928">
        <f t="shared" si="1"/>
        <v>16.339967040639859</v>
      </c>
    </row>
    <row r="103" spans="1:14">
      <c r="B103" s="927" t="str">
        <f>Futtermittel!A95</f>
        <v>Magermilchpulver 35% RP DLG 2014</v>
      </c>
      <c r="C103" s="176">
        <f>Futtermittel!E95</f>
        <v>35</v>
      </c>
      <c r="D103" s="913" t="str">
        <f>Futtermittel!F95</f>
        <v>DLG 2014</v>
      </c>
      <c r="E103" s="176">
        <f>Futtermittel!G95</f>
        <v>0</v>
      </c>
      <c r="F103" s="176">
        <f>Futtermittel!H95</f>
        <v>960</v>
      </c>
      <c r="G103" s="176">
        <f>Futtermittel!I95</f>
        <v>350</v>
      </c>
      <c r="H103" s="176">
        <f>Futtermittel!J95</f>
        <v>332.5</v>
      </c>
      <c r="I103" s="176">
        <f>Futtermittel!K95</f>
        <v>0</v>
      </c>
      <c r="J103" s="1374">
        <f>Futtermittel!L95</f>
        <v>15.010265839999999</v>
      </c>
      <c r="K103" s="181">
        <f>Futtermittel!N95</f>
        <v>26.9</v>
      </c>
      <c r="L103" s="179">
        <f>Futtermittel!O95</f>
        <v>26.092999999999996</v>
      </c>
      <c r="M103" s="89">
        <v>119.7</v>
      </c>
      <c r="N103" s="928">
        <f t="shared" si="1"/>
        <v>37.96048133276652</v>
      </c>
    </row>
    <row r="104" spans="1:14">
      <c r="B104" s="927" t="str">
        <f>Futtermittel!A96</f>
        <v>Rapsschrot-00Typ (RES) 36% RP DLG 2014</v>
      </c>
      <c r="C104" s="176">
        <f>Futtermittel!E96</f>
        <v>36</v>
      </c>
      <c r="D104" s="913" t="str">
        <f>Futtermittel!F96</f>
        <v>DLG 2014</v>
      </c>
      <c r="E104" s="176" t="str">
        <f>Futtermittel!G96</f>
        <v>6</v>
      </c>
      <c r="F104" s="176">
        <f>Futtermittel!H96</f>
        <v>890</v>
      </c>
      <c r="G104" s="176">
        <f>Futtermittel!I96</f>
        <v>355</v>
      </c>
      <c r="H104" s="176">
        <f>Futtermittel!J96</f>
        <v>252.04999999999998</v>
      </c>
      <c r="I104" s="176">
        <f>Futtermittel!K96</f>
        <v>116</v>
      </c>
      <c r="J104" s="1374">
        <f>Futtermittel!L96</f>
        <v>9.9248530000000024</v>
      </c>
      <c r="K104" s="181">
        <f>Futtermittel!N96</f>
        <v>19.944409090909087</v>
      </c>
      <c r="L104" s="179">
        <f>Futtermittel!O96</f>
        <v>14.559418636363633</v>
      </c>
      <c r="M104" s="89">
        <v>32</v>
      </c>
      <c r="N104" s="928">
        <f t="shared" si="1"/>
        <v>22.527895805848207</v>
      </c>
    </row>
    <row r="105" spans="1:14">
      <c r="B105" s="927" t="str">
        <f>Futtermittel!A97</f>
        <v xml:space="preserve">eigenes Rapsschrot </v>
      </c>
      <c r="C105" s="176" t="str">
        <f>Futtermittel!E97</f>
        <v xml:space="preserve"> </v>
      </c>
      <c r="D105" s="913">
        <f>Futtermittel!F97</f>
        <v>0</v>
      </c>
      <c r="E105" s="176">
        <f>Futtermittel!G97</f>
        <v>0</v>
      </c>
      <c r="F105" s="176">
        <f>Futtermittel!H97</f>
        <v>0</v>
      </c>
      <c r="G105" s="176">
        <f>Futtermittel!I97</f>
        <v>0</v>
      </c>
      <c r="H105" s="176" t="str">
        <f>Futtermittel!J97</f>
        <v xml:space="preserve"> </v>
      </c>
      <c r="I105" s="176">
        <f>Futtermittel!K97</f>
        <v>0</v>
      </c>
      <c r="J105" s="1374" t="str">
        <f>Futtermittel!L97</f>
        <v xml:space="preserve"> </v>
      </c>
      <c r="K105" s="181" t="str">
        <f>Futtermittel!N97</f>
        <v xml:space="preserve"> </v>
      </c>
      <c r="L105" s="179" t="str">
        <f>Futtermittel!O97</f>
        <v xml:space="preserve"> </v>
      </c>
      <c r="M105" s="89">
        <v>32</v>
      </c>
      <c r="N105" s="928" t="str">
        <f t="shared" si="1"/>
        <v xml:space="preserve"> </v>
      </c>
    </row>
    <row r="106" spans="1:14" s="2" customFormat="1">
      <c r="A106" s="931"/>
      <c r="B106" s="934" t="str">
        <f>Futtermittel!A98</f>
        <v>RES Ø RES-Monitoring 2005-2014 34% RP Ø BRD</v>
      </c>
      <c r="C106" s="937">
        <f>Futtermittel!E98</f>
        <v>34</v>
      </c>
      <c r="D106" s="936" t="str">
        <f>Futtermittel!F98</f>
        <v>Ø BRD</v>
      </c>
      <c r="E106" s="937">
        <f>Futtermittel!G98</f>
        <v>0</v>
      </c>
      <c r="F106" s="937">
        <f>Futtermittel!H98</f>
        <v>889</v>
      </c>
      <c r="G106" s="937">
        <f>Futtermittel!I98</f>
        <v>339</v>
      </c>
      <c r="H106" s="937">
        <f>Futtermittel!J98</f>
        <v>240.69</v>
      </c>
      <c r="I106" s="937">
        <f>Futtermittel!K98</f>
        <v>116</v>
      </c>
      <c r="J106" s="1375">
        <f>Futtermittel!L98</f>
        <v>9.8607814999999999</v>
      </c>
      <c r="K106" s="935">
        <f>Futtermittel!N98</f>
        <v>19.600000000000001</v>
      </c>
      <c r="L106" s="938">
        <f>Futtermittel!O98</f>
        <v>14.308</v>
      </c>
      <c r="M106" s="939">
        <v>32</v>
      </c>
      <c r="N106" s="928">
        <f t="shared" si="1"/>
        <v>22.232145613114884</v>
      </c>
    </row>
    <row r="107" spans="1:14">
      <c r="B107" s="927" t="str">
        <f>Futtermittel!A99</f>
        <v xml:space="preserve">Rapskuchen  &gt; 20 % Fett 22% RP </v>
      </c>
      <c r="C107" s="176">
        <f>Futtermittel!E99</f>
        <v>22</v>
      </c>
      <c r="D107" s="913">
        <f>Futtermittel!F99</f>
        <v>0</v>
      </c>
      <c r="E107" s="176" t="str">
        <f>Futtermittel!G99</f>
        <v>1</v>
      </c>
      <c r="F107" s="176">
        <f>Futtermittel!H99</f>
        <v>900</v>
      </c>
      <c r="G107" s="176">
        <f>Futtermittel!I99</f>
        <v>220</v>
      </c>
      <c r="H107" s="176">
        <f>Futtermittel!J99</f>
        <v>187</v>
      </c>
      <c r="I107" s="176">
        <f>Futtermittel!K99</f>
        <v>96</v>
      </c>
      <c r="J107" s="1374">
        <f>Futtermittel!L99</f>
        <v>15.185009999999998</v>
      </c>
      <c r="K107" s="181">
        <f>Futtermittel!N99</f>
        <v>13.838709677419354</v>
      </c>
      <c r="L107" s="179">
        <f>Futtermittel!O99</f>
        <v>10.240645161290322</v>
      </c>
      <c r="M107" s="89">
        <v>36</v>
      </c>
      <c r="N107" s="928">
        <f t="shared" si="1"/>
        <v>22.975975536523368</v>
      </c>
    </row>
    <row r="108" spans="1:14">
      <c r="B108" s="927" t="str">
        <f>Futtermittel!A100</f>
        <v xml:space="preserve">Rapskuchen 16 - 20 % Fett 27% RP </v>
      </c>
      <c r="C108" s="176">
        <f>Futtermittel!E100</f>
        <v>27</v>
      </c>
      <c r="D108" s="913">
        <f>Futtermittel!F100</f>
        <v>0</v>
      </c>
      <c r="E108" s="176" t="str">
        <f>Futtermittel!G100</f>
        <v>33</v>
      </c>
      <c r="F108" s="176">
        <f>Futtermittel!H100</f>
        <v>900</v>
      </c>
      <c r="G108" s="176">
        <f>Futtermittel!I100</f>
        <v>267</v>
      </c>
      <c r="H108" s="176">
        <f>Futtermittel!J100</f>
        <v>226.95</v>
      </c>
      <c r="I108" s="176">
        <f>Futtermittel!K100</f>
        <v>112</v>
      </c>
      <c r="J108" s="1374">
        <f>Futtermittel!L100</f>
        <v>14.427065999999998</v>
      </c>
      <c r="K108" s="181">
        <f>Futtermittel!N100</f>
        <v>16.855161290322599</v>
      </c>
      <c r="L108" s="179">
        <f>Futtermittel!O100</f>
        <v>12.472819354838723</v>
      </c>
      <c r="M108" s="89">
        <v>36</v>
      </c>
      <c r="N108" s="928">
        <f t="shared" si="1"/>
        <v>24.448576503194293</v>
      </c>
    </row>
    <row r="109" spans="1:14">
      <c r="B109" s="927" t="str">
        <f>Futtermittel!A101</f>
        <v xml:space="preserve">Rapskuchen 12 - 16 % Fett 28% RP </v>
      </c>
      <c r="C109" s="176">
        <f>Futtermittel!E101</f>
        <v>28</v>
      </c>
      <c r="D109" s="913">
        <f>Futtermittel!F101</f>
        <v>0</v>
      </c>
      <c r="E109" s="176" t="str">
        <f>Futtermittel!G101</f>
        <v>42</v>
      </c>
      <c r="F109" s="176">
        <f>Futtermittel!H101</f>
        <v>900</v>
      </c>
      <c r="G109" s="176">
        <f>Futtermittel!I101</f>
        <v>280</v>
      </c>
      <c r="H109" s="176">
        <f>Futtermittel!J101</f>
        <v>238</v>
      </c>
      <c r="I109" s="176">
        <f>Futtermittel!K101</f>
        <v>108</v>
      </c>
      <c r="J109" s="1374">
        <f>Futtermittel!L101</f>
        <v>13.693966000000001</v>
      </c>
      <c r="K109" s="181">
        <f>Futtermittel!N101</f>
        <v>17.424193548387098</v>
      </c>
      <c r="L109" s="179">
        <f>Futtermittel!O101</f>
        <v>12.893903225806453</v>
      </c>
      <c r="M109" s="89">
        <v>36</v>
      </c>
      <c r="N109" s="928">
        <f t="shared" si="1"/>
        <v>24.213477973751782</v>
      </c>
    </row>
    <row r="110" spans="1:14">
      <c r="B110" s="927" t="str">
        <f>Futtermittel!A102</f>
        <v xml:space="preserve">Rapskuchen   8 - 12 % Fett 30% RP </v>
      </c>
      <c r="C110" s="176">
        <f>Futtermittel!E102</f>
        <v>30</v>
      </c>
      <c r="D110" s="913">
        <f>Futtermittel!F102</f>
        <v>0</v>
      </c>
      <c r="E110" s="176" t="str">
        <f>Futtermittel!G102</f>
        <v>24</v>
      </c>
      <c r="F110" s="176">
        <f>Futtermittel!H102</f>
        <v>900</v>
      </c>
      <c r="G110" s="176">
        <f>Futtermittel!I102</f>
        <v>299</v>
      </c>
      <c r="H110" s="176">
        <f>Futtermittel!J102</f>
        <v>254.15</v>
      </c>
      <c r="I110" s="176">
        <f>Futtermittel!K102</f>
        <v>114</v>
      </c>
      <c r="J110" s="1374">
        <f>Futtermittel!L102</f>
        <v>13.092979999999999</v>
      </c>
      <c r="K110" s="181">
        <f>Futtermittel!N102</f>
        <v>18.745161290322581</v>
      </c>
      <c r="L110" s="179">
        <f>Futtermittel!O102</f>
        <v>13.871419354838711</v>
      </c>
      <c r="M110" s="89">
        <v>36</v>
      </c>
      <c r="N110" s="928">
        <f t="shared" si="1"/>
        <v>24.624505536541186</v>
      </c>
    </row>
    <row r="111" spans="1:14">
      <c r="B111" s="927" t="str">
        <f>Futtermittel!A103</f>
        <v>Sojabohne (dampferhitzt) 36% RP DLG 2014</v>
      </c>
      <c r="C111" s="176">
        <f>Futtermittel!E103</f>
        <v>36</v>
      </c>
      <c r="D111" s="913" t="str">
        <f>Futtermittel!F103</f>
        <v>DLG 2014</v>
      </c>
      <c r="E111" s="176">
        <f>Futtermittel!G103</f>
        <v>0</v>
      </c>
      <c r="F111" s="176">
        <f>Futtermittel!H103</f>
        <v>890</v>
      </c>
      <c r="G111" s="176">
        <f>Futtermittel!I103</f>
        <v>356</v>
      </c>
      <c r="H111" s="176">
        <f>Futtermittel!J103</f>
        <v>270.56</v>
      </c>
      <c r="I111" s="176">
        <f>Futtermittel!K103</f>
        <v>55</v>
      </c>
      <c r="J111" s="1374">
        <f>Futtermittel!L103</f>
        <v>15.76002783</v>
      </c>
      <c r="K111" s="181">
        <f>Futtermittel!N103</f>
        <v>22.805845454545455</v>
      </c>
      <c r="L111" s="179">
        <f>Futtermittel!O103</f>
        <v>18.244676363636366</v>
      </c>
      <c r="M111" s="89">
        <v>64</v>
      </c>
      <c r="N111" s="928">
        <f t="shared" si="1"/>
        <v>31.118273336277138</v>
      </c>
    </row>
    <row r="112" spans="1:14">
      <c r="B112" s="927" t="str">
        <f>Futtermittel!A104</f>
        <v xml:space="preserve">Sojakuchen / Expeller, Bioland 42% RP </v>
      </c>
      <c r="C112" s="176">
        <f>Futtermittel!E104</f>
        <v>42</v>
      </c>
      <c r="D112" s="913">
        <f>Futtermittel!F104</f>
        <v>0</v>
      </c>
      <c r="E112" s="176">
        <f>Futtermittel!G104</f>
        <v>0</v>
      </c>
      <c r="F112" s="176">
        <f>Futtermittel!H104</f>
        <v>910</v>
      </c>
      <c r="G112" s="176">
        <f>Futtermittel!I104</f>
        <v>420</v>
      </c>
      <c r="H112" s="176">
        <f>Futtermittel!J104</f>
        <v>365.4</v>
      </c>
      <c r="I112" s="176">
        <f>Futtermittel!K104</f>
        <v>60</v>
      </c>
      <c r="J112" s="1374">
        <f>Futtermittel!L104</f>
        <v>14.39615</v>
      </c>
      <c r="K112" s="181">
        <f>Futtermittel!N104</f>
        <v>25.378181818181822</v>
      </c>
      <c r="L112" s="179">
        <f>Futtermittel!O104</f>
        <v>22.586581818181823</v>
      </c>
      <c r="M112" s="89"/>
      <c r="N112" s="928">
        <f t="shared" si="1"/>
        <v>34.078680098330928</v>
      </c>
    </row>
    <row r="113" spans="1:31">
      <c r="B113" s="927" t="str">
        <f>Futtermittel!A105</f>
        <v>Sojakuchen 41% RP DLG 2014</v>
      </c>
      <c r="C113" s="176">
        <f>Futtermittel!E105</f>
        <v>41</v>
      </c>
      <c r="D113" s="913" t="str">
        <f>Futtermittel!F105</f>
        <v>DLG 2014</v>
      </c>
      <c r="E113" s="176">
        <f>Futtermittel!G105</f>
        <v>0</v>
      </c>
      <c r="F113" s="176">
        <f>Futtermittel!H105</f>
        <v>890</v>
      </c>
      <c r="G113" s="176">
        <f>Futtermittel!I105</f>
        <v>405</v>
      </c>
      <c r="H113" s="176">
        <f>Futtermittel!J105</f>
        <v>352.35</v>
      </c>
      <c r="I113" s="176">
        <f>Futtermittel!K105</f>
        <v>53</v>
      </c>
      <c r="J113" s="1374">
        <f>Futtermittel!L105</f>
        <v>14.19426</v>
      </c>
      <c r="K113" s="181">
        <f>Futtermittel!N105</f>
        <v>24.425227272727273</v>
      </c>
      <c r="L113" s="179">
        <f>Futtermittel!O105</f>
        <v>21.005695454545453</v>
      </c>
      <c r="M113" s="89"/>
      <c r="N113" s="928">
        <f>IF(J113=" "," ",M$16*(J113*(L$17*J113-J$17*L113)/((J$16*(L$17*J113-J$17*L113))+(J$17*(J$16*L113-L$16*J113))))+M$17*((J113*(L$17*J113-J$17*L113)/((J$16*(L$17*J113-J$17*L113))+(J$17*(J$16*L113-L$16*J113))))*((J$16*L113-L$16*J113)/(L$17*J113-J$17*1.00000000000001*L113))))</f>
        <v>32.393724543236985</v>
      </c>
    </row>
    <row r="114" spans="1:31">
      <c r="B114" s="927" t="str">
        <f>Futtermittel!A107</f>
        <v>Sojaschrot HP 48% RP DLG 2014</v>
      </c>
      <c r="C114" s="176">
        <f>Futtermittel!E107</f>
        <v>48</v>
      </c>
      <c r="D114" s="913" t="str">
        <f>Futtermittel!F107</f>
        <v>DLG 2014</v>
      </c>
      <c r="E114" s="176" t="str">
        <f>Futtermittel!G107</f>
        <v>6</v>
      </c>
      <c r="F114" s="176">
        <f>Futtermittel!H107</f>
        <v>880</v>
      </c>
      <c r="G114" s="176">
        <f>Futtermittel!I107</f>
        <v>480</v>
      </c>
      <c r="H114" s="176">
        <f>Futtermittel!J107</f>
        <v>393.59999999999997</v>
      </c>
      <c r="I114" s="176">
        <f>Futtermittel!K107</f>
        <v>35</v>
      </c>
      <c r="J114" s="1374">
        <f>Futtermittel!L107</f>
        <v>13.888607839999999</v>
      </c>
      <c r="K114" s="181">
        <f>Futtermittel!N107</f>
        <v>29.243999999999993</v>
      </c>
      <c r="L114" s="179">
        <f>Futtermittel!O107</f>
        <v>25.442279999999993</v>
      </c>
      <c r="M114" s="89">
        <v>56.5</v>
      </c>
      <c r="N114" s="928">
        <f t="shared" si="1"/>
        <v>36.364276990177359</v>
      </c>
    </row>
    <row r="115" spans="1:31">
      <c r="B115" s="927" t="str">
        <f>Futtermittel!A106</f>
        <v xml:space="preserve">Sojaschrot HP 49% RP </v>
      </c>
      <c r="C115" s="176">
        <f>Futtermittel!E106</f>
        <v>49</v>
      </c>
      <c r="D115" s="913">
        <f>Futtermittel!F106</f>
        <v>0</v>
      </c>
      <c r="E115" s="176" t="str">
        <f>Futtermittel!G106</f>
        <v>12</v>
      </c>
      <c r="F115" s="176">
        <f>Futtermittel!H106</f>
        <v>890</v>
      </c>
      <c r="G115" s="176">
        <f>Futtermittel!I106</f>
        <v>485</v>
      </c>
      <c r="H115" s="176">
        <f>Futtermittel!J106</f>
        <v>397.7</v>
      </c>
      <c r="I115" s="176">
        <f>Futtermittel!K106</f>
        <v>44</v>
      </c>
      <c r="J115" s="1374">
        <f>Futtermittel!L106</f>
        <v>13.961272000000001</v>
      </c>
      <c r="K115" s="181">
        <f>Futtermittel!N106</f>
        <v>29.552545454545456</v>
      </c>
      <c r="L115" s="179">
        <f>Futtermittel!O106</f>
        <v>25.710714545454547</v>
      </c>
      <c r="M115" s="89">
        <v>56.5</v>
      </c>
      <c r="N115" s="928">
        <f t="shared" si="1"/>
        <v>36.683742763800815</v>
      </c>
    </row>
    <row r="116" spans="1:31">
      <c r="B116" s="927" t="str">
        <f>Futtermittel!A108</f>
        <v>Sojaschrot HP 47% RP DLG FuDb</v>
      </c>
      <c r="C116" s="176">
        <f>Futtermittel!E108</f>
        <v>47</v>
      </c>
      <c r="D116" s="913" t="str">
        <f>Futtermittel!F108</f>
        <v>DLG FuDb</v>
      </c>
      <c r="E116" s="176">
        <f>Futtermittel!G108</f>
        <v>0</v>
      </c>
      <c r="F116" s="176">
        <f>Futtermittel!H108</f>
        <v>890</v>
      </c>
      <c r="G116" s="176">
        <f>Futtermittel!I108</f>
        <v>473.65800000000007</v>
      </c>
      <c r="H116" s="176">
        <f>Futtermittel!J108</f>
        <v>388.39956000000001</v>
      </c>
      <c r="I116" s="176">
        <f>Futtermittel!K108</f>
        <v>35.697900000000004</v>
      </c>
      <c r="J116" s="1374">
        <f>Futtermittel!L108</f>
        <v>13.980995938</v>
      </c>
      <c r="K116" s="181">
        <f>Futtermittel!N108</f>
        <v>28.95935885454546</v>
      </c>
      <c r="L116" s="179">
        <f>Futtermittel!O108</f>
        <v>25.194642203454549</v>
      </c>
      <c r="M116" s="89">
        <v>56.5</v>
      </c>
      <c r="N116" s="928">
        <f t="shared" si="1"/>
        <v>36.208121656123673</v>
      </c>
    </row>
    <row r="117" spans="1:31">
      <c r="B117" s="927" t="str">
        <f>Futtermittel!A109</f>
        <v xml:space="preserve">Sojaschrot HP 47% RP </v>
      </c>
      <c r="C117" s="176">
        <f>Futtermittel!E109</f>
        <v>47</v>
      </c>
      <c r="D117" s="913">
        <f>Futtermittel!F109</f>
        <v>0</v>
      </c>
      <c r="E117" s="176" t="str">
        <f>Futtermittel!G109</f>
        <v>26</v>
      </c>
      <c r="F117" s="176">
        <f>Futtermittel!H109</f>
        <v>890</v>
      </c>
      <c r="G117" s="176">
        <f>Futtermittel!I109</f>
        <v>470</v>
      </c>
      <c r="H117" s="176">
        <f>Futtermittel!J109</f>
        <v>385.4</v>
      </c>
      <c r="I117" s="176">
        <f>Futtermittel!K109</f>
        <v>52</v>
      </c>
      <c r="J117" s="1374">
        <f>Futtermittel!L109</f>
        <v>13.857122999999998</v>
      </c>
      <c r="K117" s="181">
        <f>Futtermittel!N109</f>
        <v>28.768045454545451</v>
      </c>
      <c r="L117" s="179">
        <f>Futtermittel!O109</f>
        <v>25.028199545454541</v>
      </c>
      <c r="M117" s="89">
        <v>56.5</v>
      </c>
      <c r="N117" s="928">
        <f t="shared" si="1"/>
        <v>35.941533871771988</v>
      </c>
    </row>
    <row r="118" spans="1:31">
      <c r="B118" s="934" t="str">
        <f>Futtermittel!A110</f>
        <v xml:space="preserve">Sojaschrot HP 46% RP </v>
      </c>
      <c r="C118" s="937">
        <f>Futtermittel!E110</f>
        <v>46</v>
      </c>
      <c r="D118" s="936">
        <f>Futtermittel!F110</f>
        <v>0</v>
      </c>
      <c r="E118" s="937" t="str">
        <f>Futtermittel!G110</f>
        <v>29</v>
      </c>
      <c r="F118" s="937">
        <f>Futtermittel!H110</f>
        <v>890</v>
      </c>
      <c r="G118" s="937">
        <f>Futtermittel!I110</f>
        <v>459</v>
      </c>
      <c r="H118" s="937">
        <f>Futtermittel!J110</f>
        <v>376.38</v>
      </c>
      <c r="I118" s="937">
        <f>Futtermittel!K110</f>
        <v>47</v>
      </c>
      <c r="J118" s="1375">
        <f>Futtermittel!L110</f>
        <v>13.838336999999999</v>
      </c>
      <c r="K118" s="935">
        <f>Futtermittel!N110</f>
        <v>28.192745454545456</v>
      </c>
      <c r="L118" s="938">
        <f>Futtermittel!O110</f>
        <v>24.527688545454545</v>
      </c>
      <c r="M118" s="939">
        <v>56.5</v>
      </c>
      <c r="N118" s="928">
        <f t="shared" si="1"/>
        <v>35.447300876170672</v>
      </c>
    </row>
    <row r="119" spans="1:31">
      <c r="B119" s="927" t="str">
        <f>Futtermittel!A111</f>
        <v xml:space="preserve">Sojaschrot GVO-frei, Brasil 45% RP </v>
      </c>
      <c r="C119" s="176">
        <f>Futtermittel!E111</f>
        <v>45</v>
      </c>
      <c r="D119" s="913">
        <f>Futtermittel!F111</f>
        <v>0</v>
      </c>
      <c r="E119" s="176">
        <f>Futtermittel!G111</f>
        <v>0</v>
      </c>
      <c r="F119" s="176">
        <f>Futtermittel!H111</f>
        <v>870</v>
      </c>
      <c r="G119" s="176">
        <f>Futtermittel!I111</f>
        <v>448</v>
      </c>
      <c r="H119" s="176">
        <f>Futtermittel!J111</f>
        <v>367.35999999999996</v>
      </c>
      <c r="I119" s="176">
        <f>Futtermittel!K111</f>
        <v>61.766000000000005</v>
      </c>
      <c r="J119" s="1374">
        <f>Futtermittel!L111</f>
        <v>13.626042000000002</v>
      </c>
      <c r="K119" s="181">
        <f>Futtermittel!N111</f>
        <v>27.523354545454545</v>
      </c>
      <c r="L119" s="179">
        <f>Futtermittel!O111</f>
        <v>23.945318454545454</v>
      </c>
      <c r="M119" s="89">
        <v>64.5</v>
      </c>
      <c r="N119" s="928">
        <f t="shared" si="1"/>
        <v>34.706720184174529</v>
      </c>
    </row>
    <row r="120" spans="1:31" s="462" customFormat="1">
      <c r="A120" s="932"/>
      <c r="B120" s="927" t="str">
        <f>Futtermittel!A112</f>
        <v>Sojaschrot  45% RP DLG FuDb</v>
      </c>
      <c r="C120" s="176">
        <f>Futtermittel!E112</f>
        <v>45</v>
      </c>
      <c r="D120" s="913" t="str">
        <f>Futtermittel!F112</f>
        <v>DLG FuDb</v>
      </c>
      <c r="E120" s="176">
        <f>Futtermittel!G112</f>
        <v>0</v>
      </c>
      <c r="F120" s="176">
        <f>Futtermittel!H112</f>
        <v>890</v>
      </c>
      <c r="G120" s="176">
        <f>Futtermittel!I112</f>
        <v>446.42400000000004</v>
      </c>
      <c r="H120" s="176">
        <f>Futtermittel!J112</f>
        <v>366.06768</v>
      </c>
      <c r="I120" s="176">
        <f>Futtermittel!K112</f>
        <v>61.766000000000005</v>
      </c>
      <c r="J120" s="1374">
        <f>Futtermittel!L112</f>
        <v>13.167056139</v>
      </c>
      <c r="K120" s="181">
        <f>Futtermittel!N112</f>
        <v>27.535020654545455</v>
      </c>
      <c r="L120" s="179">
        <f>Futtermittel!O112</f>
        <v>23.955467969454546</v>
      </c>
      <c r="M120" s="89">
        <v>56.5</v>
      </c>
      <c r="N120" s="928">
        <f t="shared" si="1"/>
        <v>34.317489833118039</v>
      </c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</row>
    <row r="121" spans="1:31" s="462" customFormat="1">
      <c r="A121" s="932"/>
      <c r="B121" s="927" t="str">
        <f>Futtermittel!A113</f>
        <v xml:space="preserve">eigenes Sojaschrot </v>
      </c>
      <c r="C121" s="176" t="str">
        <f>Futtermittel!E113</f>
        <v xml:space="preserve"> </v>
      </c>
      <c r="D121" s="913">
        <f>Futtermittel!F113</f>
        <v>0</v>
      </c>
      <c r="E121" s="176">
        <f>Futtermittel!G113</f>
        <v>0</v>
      </c>
      <c r="F121" s="176">
        <f>Futtermittel!H113</f>
        <v>0</v>
      </c>
      <c r="G121" s="176">
        <f>Futtermittel!I113</f>
        <v>0</v>
      </c>
      <c r="H121" s="176" t="str">
        <f>Futtermittel!J113</f>
        <v xml:space="preserve"> </v>
      </c>
      <c r="I121" s="176">
        <f>Futtermittel!K113</f>
        <v>0</v>
      </c>
      <c r="J121" s="1374" t="str">
        <f>Futtermittel!L113</f>
        <v xml:space="preserve"> </v>
      </c>
      <c r="K121" s="181" t="str">
        <f>Futtermittel!N113</f>
        <v xml:space="preserve"> </v>
      </c>
      <c r="L121" s="179" t="str">
        <f>Futtermittel!O113</f>
        <v xml:space="preserve"> </v>
      </c>
      <c r="M121" s="89">
        <v>52</v>
      </c>
      <c r="N121" s="928" t="str">
        <f t="shared" si="1"/>
        <v xml:space="preserve"> </v>
      </c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</row>
    <row r="122" spans="1:31" s="462" customFormat="1">
      <c r="A122" s="932"/>
      <c r="B122" s="927" t="str">
        <f>Futtermittel!A114</f>
        <v xml:space="preserve">Sojaschrot 44% RP </v>
      </c>
      <c r="C122" s="176">
        <f>Futtermittel!E114</f>
        <v>44</v>
      </c>
      <c r="D122" s="913">
        <f>Futtermittel!F114</f>
        <v>0</v>
      </c>
      <c r="E122" s="176" t="str">
        <f>Futtermittel!G114</f>
        <v>14</v>
      </c>
      <c r="F122" s="176">
        <f>Futtermittel!H114</f>
        <v>890</v>
      </c>
      <c r="G122" s="176">
        <f>Futtermittel!I114</f>
        <v>440</v>
      </c>
      <c r="H122" s="176">
        <f>Futtermittel!J114</f>
        <v>360.79999999999995</v>
      </c>
      <c r="I122" s="176">
        <f>Futtermittel!K114</f>
        <v>67</v>
      </c>
      <c r="J122" s="1374">
        <f>Futtermittel!L114</f>
        <v>13.154765999999999</v>
      </c>
      <c r="K122" s="181">
        <f>Futtermittel!N114</f>
        <v>27.199045454545455</v>
      </c>
      <c r="L122" s="179">
        <f>Futtermittel!O114</f>
        <v>23.663169545454547</v>
      </c>
      <c r="M122" s="89">
        <v>52</v>
      </c>
      <c r="N122" s="928">
        <f>IF(J122=" "," ",M$16*(J122*(L$17*J122-J$17*L122)/((J$16*(L$17*J122-J$17*L122))+(J$17*(J$16*L122-L$16*J122))))+M$17*((J122*(L$17*J122-J$17*L122)/((J$16*(L$17*J122-J$17*L122))+(J$17*(J$16*L122-L$16*J122))))*((J$16*L122-L$16*J122)/(L$17*J122-J$17*1.00000000000001*L122))))</f>
        <v>34.027711272485384</v>
      </c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</row>
    <row r="123" spans="1:31" s="462" customFormat="1">
      <c r="A123" s="932"/>
      <c r="B123" s="934" t="str">
        <f>Futtermittel!A116</f>
        <v xml:space="preserve">Sojaschrot 43% RP </v>
      </c>
      <c r="C123" s="937">
        <f>Futtermittel!E116</f>
        <v>43</v>
      </c>
      <c r="D123" s="936">
        <f>Futtermittel!F116</f>
        <v>0</v>
      </c>
      <c r="E123" s="937" t="str">
        <f>Futtermittel!G116</f>
        <v>19</v>
      </c>
      <c r="F123" s="937">
        <f>Futtermittel!H116</f>
        <v>890</v>
      </c>
      <c r="G123" s="937">
        <f>Futtermittel!I116</f>
        <v>429</v>
      </c>
      <c r="H123" s="937">
        <f>Futtermittel!J116</f>
        <v>351.78</v>
      </c>
      <c r="I123" s="937">
        <f>Futtermittel!K116</f>
        <v>69</v>
      </c>
      <c r="J123" s="1375">
        <f>Futtermittel!L116</f>
        <v>13.097460999999999</v>
      </c>
      <c r="K123" s="935">
        <f>Futtermittel!N116</f>
        <v>26.623745454545457</v>
      </c>
      <c r="L123" s="938">
        <f>Futtermittel!O116</f>
        <v>23.162658545454548</v>
      </c>
      <c r="M123" s="939">
        <v>52</v>
      </c>
      <c r="N123" s="928">
        <f>IF(J123=" "," ",M$16*(J123*(L$17*J123-J$17*L123)/((J$16*(L$17*J123-J$17*L123))+(J$17*(J$16*L123-L$16*J123))))+M$17*((J123*(L$17*J123-J$17*L123)/((J$16*(L$17*J123-J$17*L123))+(J$17*(J$16*L123-L$16*J123))))*((J$16*L123-L$16*J123)/(L$17*J123-J$17*1.00000000000001*L123))))</f>
        <v>0</v>
      </c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</row>
    <row r="124" spans="1:31" s="462" customFormat="1">
      <c r="A124" s="932"/>
      <c r="B124" s="927" t="str">
        <f>Futtermittel!A115</f>
        <v>Sojaschrot 44% RP DLG 2014</v>
      </c>
      <c r="C124" s="176">
        <f>Futtermittel!E115</f>
        <v>44</v>
      </c>
      <c r="D124" s="913" t="str">
        <f>Futtermittel!F115</f>
        <v>DLG 2014</v>
      </c>
      <c r="E124" s="176">
        <f>Futtermittel!G115</f>
        <v>0</v>
      </c>
      <c r="F124" s="176">
        <f>Futtermittel!H115</f>
        <v>880</v>
      </c>
      <c r="G124" s="176">
        <f>Futtermittel!I115</f>
        <v>440</v>
      </c>
      <c r="H124" s="176">
        <f>Futtermittel!J115</f>
        <v>360.79999999999995</v>
      </c>
      <c r="I124" s="176">
        <f>Futtermittel!K115</f>
        <v>60</v>
      </c>
      <c r="J124" s="1374">
        <f>Futtermittel!L115</f>
        <v>13.002691999999998</v>
      </c>
      <c r="K124" s="181">
        <f>Futtermittel!N115</f>
        <v>27.152000000000001</v>
      </c>
      <c r="L124" s="179">
        <f>Futtermittel!O115</f>
        <v>23.622240000000001</v>
      </c>
      <c r="M124" s="89">
        <v>52</v>
      </c>
      <c r="N124" s="928">
        <f t="shared" ref="N124:N172" si="2">IF(J124=" "," ",M$16*(J124*(L$17*J124-J$17*L124)/((J$16*(L$17*J124-J$17*L124))+(J$17*(J$16*L124-L$16*J124))))+M$17*((J124*(L$17*J124-J$17*L124)/((J$16*(L$17*J124-J$17*L124))+(J$17*(J$16*L124-L$16*J124))))*((J$16*L124-L$16*J124)/(L$17*J124-J$17*1.00000000000001*L124))))</f>
        <v>33.856457215730025</v>
      </c>
      <c r="O124" s="461"/>
      <c r="P124" s="461"/>
      <c r="Q124" s="461"/>
      <c r="R124" s="461"/>
      <c r="S124" s="461"/>
      <c r="T124" s="461"/>
      <c r="U124" s="461"/>
      <c r="V124" s="461"/>
      <c r="W124" s="461"/>
      <c r="X124" s="461"/>
      <c r="Y124" s="461"/>
      <c r="Z124" s="461"/>
      <c r="AA124" s="461"/>
      <c r="AB124" s="461"/>
      <c r="AC124" s="461"/>
      <c r="AD124" s="461"/>
      <c r="AE124" s="461"/>
    </row>
    <row r="125" spans="1:31" s="462" customFormat="1">
      <c r="A125" s="932"/>
      <c r="B125" s="927" t="str">
        <f>Futtermittel!A118</f>
        <v>Sojaschrot, schalenreich 42% RP DLG FuDb</v>
      </c>
      <c r="C125" s="176">
        <f>Futtermittel!E118</f>
        <v>42</v>
      </c>
      <c r="D125" s="913" t="str">
        <f>Futtermittel!F118</f>
        <v>DLG FuDb</v>
      </c>
      <c r="E125" s="176">
        <f>Futtermittel!G118</f>
        <v>0</v>
      </c>
      <c r="F125" s="176">
        <f>Futtermittel!H118</f>
        <v>880</v>
      </c>
      <c r="G125" s="176">
        <f>Futtermittel!I118</f>
        <v>424.16</v>
      </c>
      <c r="H125" s="176">
        <f>Futtermittel!J118</f>
        <v>347.81119999999999</v>
      </c>
      <c r="I125" s="176">
        <f>Futtermittel!K118</f>
        <v>83.036799999999999</v>
      </c>
      <c r="J125" s="1374">
        <f>Futtermittel!L118</f>
        <v>12.583161327999999</v>
      </c>
      <c r="K125" s="181">
        <f>Futtermittel!N118</f>
        <v>26.323568000000002</v>
      </c>
      <c r="L125" s="179">
        <f>Futtermittel!O118</f>
        <v>23.42797552</v>
      </c>
      <c r="M125" s="89">
        <v>52</v>
      </c>
      <c r="N125" s="928">
        <f t="shared" si="2"/>
        <v>33.306337192428316</v>
      </c>
      <c r="O125" s="461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461"/>
      <c r="AB125" s="461"/>
      <c r="AC125" s="461"/>
      <c r="AD125" s="461"/>
      <c r="AE125" s="461"/>
    </row>
    <row r="126" spans="1:31" s="462" customFormat="1">
      <c r="A126" s="932"/>
      <c r="B126" s="927" t="str">
        <f>Futtermittel!A119</f>
        <v xml:space="preserve">Sojaschrot, schalenreich 42% RP </v>
      </c>
      <c r="C126" s="176">
        <f>Futtermittel!E119</f>
        <v>42</v>
      </c>
      <c r="D126" s="913">
        <f>Futtermittel!F119</f>
        <v>0</v>
      </c>
      <c r="E126" s="176" t="str">
        <f>Futtermittel!G119</f>
        <v>13</v>
      </c>
      <c r="F126" s="176">
        <f>Futtermittel!H119</f>
        <v>890</v>
      </c>
      <c r="G126" s="176">
        <f>Futtermittel!I119</f>
        <v>420</v>
      </c>
      <c r="H126" s="176">
        <f>Futtermittel!J119</f>
        <v>344.4</v>
      </c>
      <c r="I126" s="176">
        <f>Futtermittel!K119</f>
        <v>72</v>
      </c>
      <c r="J126" s="1374">
        <f>Futtermittel!L119</f>
        <v>12.690603000000001</v>
      </c>
      <c r="K126" s="181">
        <f>Futtermittel!N119</f>
        <v>26.153045454545452</v>
      </c>
      <c r="L126" s="179">
        <f>Futtermittel!O119</f>
        <v>23.276210454545453</v>
      </c>
      <c r="M126" s="89">
        <v>52</v>
      </c>
      <c r="N126" s="928">
        <f t="shared" si="2"/>
        <v>33.254808106125822</v>
      </c>
      <c r="O126" s="461"/>
      <c r="P126" s="461"/>
      <c r="Q126" s="461"/>
      <c r="R126" s="461"/>
      <c r="S126" s="461"/>
      <c r="T126" s="461"/>
      <c r="U126" s="461"/>
      <c r="V126" s="461"/>
      <c r="W126" s="461"/>
      <c r="X126" s="461"/>
      <c r="Y126" s="461"/>
      <c r="Z126" s="461"/>
      <c r="AA126" s="461"/>
      <c r="AB126" s="461"/>
      <c r="AC126" s="461"/>
      <c r="AD126" s="461"/>
      <c r="AE126" s="461"/>
    </row>
    <row r="127" spans="1:31" s="462" customFormat="1">
      <c r="A127" s="932"/>
      <c r="B127" s="927" t="str">
        <f>Futtermittel!A120</f>
        <v xml:space="preserve">Sojaschrot, schalenreich 41% RP </v>
      </c>
      <c r="C127" s="176">
        <f>Futtermittel!E120</f>
        <v>41</v>
      </c>
      <c r="D127" s="913">
        <f>Futtermittel!F120</f>
        <v>0</v>
      </c>
      <c r="E127" s="176" t="str">
        <f>Futtermittel!G120</f>
        <v>6</v>
      </c>
      <c r="F127" s="176">
        <f>Futtermittel!H120</f>
        <v>890</v>
      </c>
      <c r="G127" s="176">
        <f>Futtermittel!I120</f>
        <v>410</v>
      </c>
      <c r="H127" s="176">
        <f>Futtermittel!J120</f>
        <v>336.2</v>
      </c>
      <c r="I127" s="176">
        <f>Futtermittel!K120</f>
        <v>77</v>
      </c>
      <c r="J127" s="1374">
        <f>Futtermittel!L120</f>
        <v>12.729226999999998</v>
      </c>
      <c r="K127" s="181">
        <f>Futtermittel!N120</f>
        <v>25.630045454545453</v>
      </c>
      <c r="L127" s="179">
        <f>Futtermittel!O120</f>
        <v>22.810740454545453</v>
      </c>
      <c r="M127" s="89">
        <v>52</v>
      </c>
      <c r="N127" s="928">
        <f t="shared" si="2"/>
        <v>32.84393062064531</v>
      </c>
      <c r="O127" s="461"/>
      <c r="P127" s="461"/>
      <c r="Q127" s="461"/>
      <c r="R127" s="461"/>
      <c r="S127" s="461"/>
      <c r="T127" s="461"/>
      <c r="U127" s="461"/>
      <c r="V127" s="461"/>
      <c r="W127" s="461"/>
      <c r="X127" s="461"/>
      <c r="Y127" s="461"/>
      <c r="Z127" s="461"/>
      <c r="AA127" s="461"/>
      <c r="AB127" s="461"/>
      <c r="AC127" s="461"/>
      <c r="AD127" s="461"/>
      <c r="AE127" s="461"/>
    </row>
    <row r="128" spans="1:31" s="462" customFormat="1">
      <c r="A128" s="932"/>
      <c r="B128" s="927" t="str">
        <f>Futtermittel!A121</f>
        <v xml:space="preserve">Sojaschrot, schalenreich 40% RP </v>
      </c>
      <c r="C128" s="176">
        <f>Futtermittel!E121</f>
        <v>40</v>
      </c>
      <c r="D128" s="913">
        <f>Futtermittel!F121</f>
        <v>0</v>
      </c>
      <c r="E128" s="176" t="str">
        <f>Futtermittel!G121</f>
        <v>3</v>
      </c>
      <c r="F128" s="176">
        <f>Futtermittel!H121</f>
        <v>890</v>
      </c>
      <c r="G128" s="176">
        <f>Futtermittel!I121</f>
        <v>402</v>
      </c>
      <c r="H128" s="176">
        <f>Futtermittel!J121</f>
        <v>329.64</v>
      </c>
      <c r="I128" s="176">
        <f>Futtermittel!K121</f>
        <v>88</v>
      </c>
      <c r="J128" s="1374">
        <f>Futtermittel!L121</f>
        <v>12.663584</v>
      </c>
      <c r="K128" s="181">
        <f>Futtermittel!N121</f>
        <v>25.211645454545458</v>
      </c>
      <c r="L128" s="179">
        <f>Futtermittel!O121</f>
        <v>22.438364454545457</v>
      </c>
      <c r="M128" s="89">
        <v>52</v>
      </c>
      <c r="N128" s="928">
        <f t="shared" si="2"/>
        <v>32.431320261763929</v>
      </c>
      <c r="O128" s="461"/>
      <c r="P128" s="461"/>
      <c r="Q128" s="461"/>
      <c r="R128" s="461"/>
      <c r="S128" s="461"/>
      <c r="T128" s="461"/>
      <c r="U128" s="461"/>
      <c r="V128" s="461"/>
      <c r="W128" s="461"/>
      <c r="X128" s="461"/>
      <c r="Y128" s="461"/>
      <c r="Z128" s="461"/>
      <c r="AA128" s="461"/>
      <c r="AB128" s="461"/>
      <c r="AC128" s="461"/>
      <c r="AD128" s="461"/>
      <c r="AE128" s="461"/>
    </row>
    <row r="129" spans="1:31" s="462" customFormat="1">
      <c r="A129" s="932"/>
      <c r="B129" s="927" t="str">
        <f>Futtermittel!A122</f>
        <v xml:space="preserve">Sonnenblumenkuchen kaltgepresst 22% RP </v>
      </c>
      <c r="C129" s="176">
        <f>Futtermittel!E122</f>
        <v>22</v>
      </c>
      <c r="D129" s="913">
        <f>Futtermittel!F122</f>
        <v>0</v>
      </c>
      <c r="E129" s="176">
        <f>Futtermittel!G122</f>
        <v>0</v>
      </c>
      <c r="F129" s="176">
        <f>Futtermittel!H122</f>
        <v>880</v>
      </c>
      <c r="G129" s="176">
        <f>Futtermittel!I122</f>
        <v>219</v>
      </c>
      <c r="H129" s="176">
        <f>Futtermittel!J122</f>
        <v>175.20000000000002</v>
      </c>
      <c r="I129" s="176">
        <f>Futtermittel!K122</f>
        <v>278</v>
      </c>
      <c r="J129" s="1374">
        <f>Futtermittel!L122</f>
        <v>10.943737999999998</v>
      </c>
      <c r="K129" s="181">
        <f>Futtermittel!N122</f>
        <v>8.4362999999999992</v>
      </c>
      <c r="L129" s="179">
        <f>Futtermittel!O122</f>
        <v>6.6646769999999993</v>
      </c>
      <c r="M129" s="89"/>
      <c r="N129" s="928">
        <f t="shared" si="2"/>
        <v>15.87527096917983</v>
      </c>
      <c r="O129" s="461"/>
      <c r="P129" s="461"/>
      <c r="Q129" s="461"/>
      <c r="R129" s="461"/>
      <c r="S129" s="461"/>
      <c r="T129" s="461"/>
      <c r="U129" s="461"/>
      <c r="V129" s="461"/>
      <c r="W129" s="461"/>
      <c r="X129" s="461"/>
      <c r="Y129" s="461"/>
      <c r="Z129" s="461"/>
      <c r="AA129" s="461"/>
      <c r="AB129" s="461"/>
      <c r="AC129" s="461"/>
      <c r="AD129" s="461"/>
      <c r="AE129" s="461"/>
    </row>
    <row r="130" spans="1:31" s="462" customFormat="1">
      <c r="A130" s="932"/>
      <c r="B130" s="927" t="str">
        <f>Futtermittel!A123</f>
        <v>Sonnenblumenschrot teilgeschält 34% RP DLG 2014</v>
      </c>
      <c r="C130" s="176">
        <f>Futtermittel!E123</f>
        <v>34</v>
      </c>
      <c r="D130" s="913" t="str">
        <f>Futtermittel!F123</f>
        <v>DLG 2014</v>
      </c>
      <c r="E130" s="176">
        <f>Futtermittel!G123</f>
        <v>0</v>
      </c>
      <c r="F130" s="176">
        <f>Futtermittel!H123</f>
        <v>890</v>
      </c>
      <c r="G130" s="176">
        <f>Futtermittel!I123</f>
        <v>338</v>
      </c>
      <c r="H130" s="176">
        <f>Futtermittel!J123</f>
        <v>260.26</v>
      </c>
      <c r="I130" s="176">
        <f>Futtermittel!K123</f>
        <v>200</v>
      </c>
      <c r="J130" s="1374">
        <f>Futtermittel!L123</f>
        <v>9.8604830000000003</v>
      </c>
      <c r="K130" s="181">
        <f>Futtermittel!N123</f>
        <v>11.689263636363636</v>
      </c>
      <c r="L130" s="179">
        <f>Futtermittel!O123</f>
        <v>9.0007330000000003</v>
      </c>
      <c r="M130" s="89">
        <v>30.5</v>
      </c>
      <c r="N130" s="928">
        <f t="shared" si="2"/>
        <v>17.164322181591441</v>
      </c>
      <c r="O130" s="461"/>
      <c r="P130" s="461"/>
      <c r="Q130" s="461"/>
      <c r="R130" s="461"/>
      <c r="S130" s="461"/>
      <c r="T130" s="461"/>
      <c r="U130" s="461"/>
      <c r="V130" s="461"/>
      <c r="W130" s="461"/>
      <c r="X130" s="461"/>
      <c r="Y130" s="461"/>
      <c r="Z130" s="461"/>
      <c r="AA130" s="461"/>
      <c r="AB130" s="461"/>
      <c r="AC130" s="461"/>
      <c r="AD130" s="461"/>
      <c r="AE130" s="461"/>
    </row>
    <row r="131" spans="1:31" s="462" customFormat="1">
      <c r="A131" s="932"/>
      <c r="B131" s="927" t="str">
        <f>Futtermittel!A124</f>
        <v xml:space="preserve">Trockenschlempe 29% RP </v>
      </c>
      <c r="C131" s="176">
        <f>Futtermittel!E124</f>
        <v>29</v>
      </c>
      <c r="D131" s="913">
        <f>Futtermittel!F124</f>
        <v>0</v>
      </c>
      <c r="E131" s="176">
        <f>Futtermittel!G124</f>
        <v>0</v>
      </c>
      <c r="F131" s="176">
        <f>Futtermittel!H124</f>
        <v>930</v>
      </c>
      <c r="G131" s="176">
        <f>Futtermittel!I124</f>
        <v>292.02</v>
      </c>
      <c r="H131" s="176">
        <f>Futtermittel!J124</f>
        <v>210.25439999999998</v>
      </c>
      <c r="I131" s="176">
        <f>Futtermittel!K124</f>
        <v>69.75</v>
      </c>
      <c r="J131" s="1374">
        <f>Futtermittel!L124</f>
        <v>11.897758770000001</v>
      </c>
      <c r="K131" s="181">
        <f>Futtermittel!N124</f>
        <v>6.6029999999999998</v>
      </c>
      <c r="L131" s="179">
        <f>Futtermittel!O124</f>
        <v>4.5560699999999992</v>
      </c>
      <c r="M131" s="89">
        <v>33</v>
      </c>
      <c r="N131" s="928">
        <f t="shared" si="2"/>
        <v>14.691073796323597</v>
      </c>
      <c r="O131" s="461"/>
      <c r="P131" s="461"/>
      <c r="Q131" s="461"/>
      <c r="R131" s="461"/>
      <c r="S131" s="461"/>
      <c r="T131" s="461"/>
      <c r="U131" s="461"/>
      <c r="V131" s="461"/>
      <c r="W131" s="461"/>
      <c r="X131" s="461"/>
      <c r="Y131" s="461"/>
      <c r="Z131" s="461"/>
      <c r="AA131" s="461"/>
      <c r="AB131" s="461"/>
      <c r="AC131" s="461"/>
      <c r="AD131" s="461"/>
      <c r="AE131" s="461"/>
    </row>
    <row r="132" spans="1:31" s="462" customFormat="1">
      <c r="A132" s="932"/>
      <c r="B132" s="927" t="str">
        <f>Futtermittel!A125</f>
        <v>Trockenschlempe Gerste getrocknet 26% RP DLG 2014</v>
      </c>
      <c r="C132" s="176">
        <f>Futtermittel!E125</f>
        <v>26</v>
      </c>
      <c r="D132" s="913" t="str">
        <f>Futtermittel!F125</f>
        <v>DLG 2014</v>
      </c>
      <c r="E132" s="176">
        <f>Futtermittel!G125</f>
        <v>0</v>
      </c>
      <c r="F132" s="176">
        <f>Futtermittel!H125</f>
        <v>910</v>
      </c>
      <c r="G132" s="176">
        <f>Futtermittel!I125</f>
        <v>255</v>
      </c>
      <c r="H132" s="176">
        <f>Futtermittel!J125</f>
        <v>198.9</v>
      </c>
      <c r="I132" s="176">
        <f>Futtermittel!K125</f>
        <v>113</v>
      </c>
      <c r="J132" s="1374">
        <f>Futtermittel!L125</f>
        <v>11.033172</v>
      </c>
      <c r="K132" s="181">
        <f>Futtermittel!N125</f>
        <v>8.1999999999999993</v>
      </c>
      <c r="L132" s="179">
        <f>Futtermittel!O125</f>
        <v>6.7239999999999993</v>
      </c>
      <c r="M132" s="89"/>
      <c r="N132" s="928">
        <f>IF(J132=" "," ",M$16*(J132*(L$17*J132-J$17*L132)/((J$16*(L$17*J132-J$17*L132))+(J$17*(J$16*L132-L$16*J132))))+M$17*((J132*(L$17*J132-J$17*L132)/((J$16*(L$17*J132-J$17*L132))+(J$17*(J$16*L132-L$16*J132))))*((J$16*L132-L$16*J132)/(L$17*J132-J$17*1.00000000000001*L132))))</f>
        <v>16.009645015406036</v>
      </c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  <c r="AA132" s="461"/>
      <c r="AB132" s="461"/>
      <c r="AC132" s="461"/>
      <c r="AD132" s="461"/>
      <c r="AE132" s="461"/>
    </row>
    <row r="133" spans="1:31" s="462" customFormat="1">
      <c r="A133" s="932"/>
      <c r="B133" s="927" t="str">
        <f>Futtermittel!A126</f>
        <v>Trockenschlempe Weizen getrocknet 35% RP DLG 2014</v>
      </c>
      <c r="C133" s="176">
        <f>Futtermittel!E126</f>
        <v>35</v>
      </c>
      <c r="D133" s="913" t="str">
        <f>Futtermittel!F126</f>
        <v>DLG 2014</v>
      </c>
      <c r="E133" s="176">
        <f>Futtermittel!G126</f>
        <v>0</v>
      </c>
      <c r="F133" s="176">
        <f>Futtermittel!H126</f>
        <v>920</v>
      </c>
      <c r="G133" s="176">
        <f>Futtermittel!I126</f>
        <v>351</v>
      </c>
      <c r="H133" s="176">
        <f>Futtermittel!J126</f>
        <v>252.72</v>
      </c>
      <c r="I133" s="176">
        <f>Futtermittel!K126</f>
        <v>69</v>
      </c>
      <c r="J133" s="1374">
        <f>Futtermittel!L126</f>
        <v>11.453660000000001</v>
      </c>
      <c r="K133" s="181">
        <f>Futtermittel!N126</f>
        <v>7.1</v>
      </c>
      <c r="L133" s="179">
        <f>Futtermittel!O126</f>
        <v>4.8989999999999991</v>
      </c>
      <c r="M133" s="89"/>
      <c r="N133" s="928">
        <f>IF(J133=" "," ",M$16*(J133*(L$17*J133-J$17*L133)/((J$16*(L$17*J133-J$17*L133))+(J$17*(J$16*L133-L$16*J133))))+M$17*((J133*(L$17*J133-J$17*L133)/((J$16*(L$17*J133-J$17*L133))+(J$17*(J$16*L133-L$16*J133))))*((J$16*L133-L$16*J133)/(L$17*J133-J$17*1.00000000000001*L133))))</f>
        <v>14.632532798859703</v>
      </c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</row>
    <row r="134" spans="1:31" s="462" customFormat="1">
      <c r="A134" s="932"/>
      <c r="B134" s="927" t="str">
        <f>Futtermittel!A127</f>
        <v>Trockenschlempe Weizen, Gerste getrocknet 34% RP DLG 2014</v>
      </c>
      <c r="C134" s="176">
        <f>Futtermittel!E127</f>
        <v>34</v>
      </c>
      <c r="D134" s="913" t="str">
        <f>Futtermittel!F127</f>
        <v>DLG 2014</v>
      </c>
      <c r="E134" s="176">
        <f>Futtermittel!G127</f>
        <v>0</v>
      </c>
      <c r="F134" s="176">
        <f>Futtermittel!H127</f>
        <v>920</v>
      </c>
      <c r="G134" s="176">
        <f>Futtermittel!I127</f>
        <v>340</v>
      </c>
      <c r="H134" s="176">
        <f>Futtermittel!J127</f>
        <v>244.79999999999998</v>
      </c>
      <c r="I134" s="176">
        <f>Futtermittel!K127</f>
        <v>68</v>
      </c>
      <c r="J134" s="1374">
        <f>Futtermittel!L127</f>
        <v>11.547073000000001</v>
      </c>
      <c r="K134" s="181">
        <f>Futtermittel!N127</f>
        <v>7.1</v>
      </c>
      <c r="L134" s="179">
        <f>Futtermittel!O127</f>
        <v>4.8989999999999991</v>
      </c>
      <c r="M134" s="89"/>
      <c r="N134" s="928">
        <f>IF(J134=" "," ",M$16*(J134*(L$17*J134-J$17*L134)/((J$16*(L$17*J134-J$17*L134))+(J$17*(J$16*L134-L$16*J134))))+M$17*((J134*(L$17*J134-J$17*L134)/((J$16*(L$17*J134-J$17*L134))+(J$17*(J$16*L134-L$16*J134))))*((J$16*L134-L$16*J134)/(L$17*J134-J$17*1.00000000000001*L134))))</f>
        <v>14.713721466622442</v>
      </c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461"/>
      <c r="AD134" s="461"/>
      <c r="AE134" s="461"/>
    </row>
    <row r="135" spans="1:31" s="462" customFormat="1" ht="5" customHeight="1">
      <c r="A135" s="932"/>
      <c r="B135" s="927"/>
      <c r="C135" s="176"/>
      <c r="D135" s="913"/>
      <c r="E135" s="176"/>
      <c r="F135" s="176"/>
      <c r="G135" s="176"/>
      <c r="H135" s="176"/>
      <c r="I135" s="176"/>
      <c r="J135" s="1374"/>
      <c r="K135" s="181"/>
      <c r="L135" s="179"/>
      <c r="M135" s="89"/>
      <c r="N135" s="928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461"/>
      <c r="AD135" s="461"/>
      <c r="AE135" s="461"/>
    </row>
    <row r="136" spans="1:31" s="462" customFormat="1">
      <c r="A136" s="932"/>
      <c r="B136" s="933" t="str">
        <f>Futtermittel!A129</f>
        <v xml:space="preserve">Aminosäuren*** </v>
      </c>
      <c r="C136" s="176" t="str">
        <f>Futtermittel!E129</f>
        <v xml:space="preserve"> </v>
      </c>
      <c r="D136" s="913">
        <f>Futtermittel!F129</f>
        <v>0</v>
      </c>
      <c r="E136" s="176">
        <f>Futtermittel!G129</f>
        <v>0</v>
      </c>
      <c r="F136" s="176">
        <f>Futtermittel!H129</f>
        <v>0</v>
      </c>
      <c r="G136" s="176">
        <f>Futtermittel!I129</f>
        <v>0</v>
      </c>
      <c r="H136" s="176">
        <f>Futtermittel!J129</f>
        <v>0</v>
      </c>
      <c r="I136" s="176">
        <f>Futtermittel!K129</f>
        <v>0</v>
      </c>
      <c r="J136" s="1374">
        <f>Futtermittel!L129</f>
        <v>0</v>
      </c>
      <c r="K136" s="181">
        <f>Futtermittel!N129</f>
        <v>0</v>
      </c>
      <c r="L136" s="179">
        <f>Futtermittel!O129</f>
        <v>0</v>
      </c>
      <c r="M136" s="89"/>
      <c r="N136" s="928" t="str">
        <f>IF(J136=0," ",M$16*(J136*(L$17*J136-J$17*L136)/((J$16*(L$17*J136-J$17*L136))+(J$17*(J$16*L136-L$16*J136))))+M$17*((J136*(L$17*J136-J$17*L136)/((J$16*(L$17*J136-J$17*L136))+(J$17*(J$16*L136-L$16*J136))))*((J$16*L136-L$16*J136)/(L$17*J136-J$17*1.00000000000001*L136))))</f>
        <v xml:space="preserve"> </v>
      </c>
      <c r="O136" s="461"/>
      <c r="P136" s="461"/>
      <c r="Q136" s="461"/>
      <c r="R136" s="461"/>
      <c r="S136" s="461"/>
      <c r="T136" s="461"/>
      <c r="U136" s="461"/>
      <c r="V136" s="461"/>
      <c r="W136" s="461"/>
      <c r="X136" s="461"/>
      <c r="Y136" s="461"/>
      <c r="Z136" s="461"/>
      <c r="AA136" s="461"/>
      <c r="AB136" s="461"/>
      <c r="AC136" s="461"/>
      <c r="AD136" s="461"/>
      <c r="AE136" s="461"/>
    </row>
    <row r="137" spans="1:31" s="462" customFormat="1" ht="5" customHeight="1">
      <c r="A137" s="932"/>
      <c r="B137" s="933"/>
      <c r="C137" s="176"/>
      <c r="D137" s="913"/>
      <c r="E137" s="176"/>
      <c r="F137" s="176"/>
      <c r="G137" s="176"/>
      <c r="H137" s="176"/>
      <c r="I137" s="176"/>
      <c r="J137" s="1374"/>
      <c r="K137" s="181"/>
      <c r="L137" s="179"/>
      <c r="M137" s="89"/>
      <c r="N137" s="928"/>
      <c r="O137" s="461"/>
      <c r="P137" s="461"/>
      <c r="Q137" s="461"/>
      <c r="R137" s="461"/>
      <c r="S137" s="461"/>
      <c r="T137" s="461"/>
      <c r="U137" s="461"/>
      <c r="V137" s="461"/>
      <c r="W137" s="461"/>
      <c r="X137" s="461"/>
      <c r="Y137" s="461"/>
      <c r="Z137" s="461"/>
      <c r="AA137" s="461"/>
      <c r="AB137" s="461"/>
      <c r="AC137" s="461"/>
      <c r="AD137" s="461"/>
      <c r="AE137" s="461"/>
    </row>
    <row r="138" spans="1:31" s="462" customFormat="1">
      <c r="A138" s="932"/>
      <c r="B138" s="927" t="str">
        <f>Futtermittel!A131</f>
        <v xml:space="preserve">L-Lysin-HCL 95% RP </v>
      </c>
      <c r="C138" s="176">
        <f>Futtermittel!E131</f>
        <v>95</v>
      </c>
      <c r="D138" s="913">
        <f>Futtermittel!F131</f>
        <v>0</v>
      </c>
      <c r="E138" s="176">
        <f>Futtermittel!G131</f>
        <v>0</v>
      </c>
      <c r="F138" s="176">
        <f>Futtermittel!H131</f>
        <v>995</v>
      </c>
      <c r="G138" s="176">
        <f>Futtermittel!I131</f>
        <v>954</v>
      </c>
      <c r="H138" s="176">
        <f>Futtermittel!J131</f>
        <v>954</v>
      </c>
      <c r="I138" s="176">
        <f>Futtermittel!K131</f>
        <v>0</v>
      </c>
      <c r="J138" s="1374">
        <f>Futtermittel!L131</f>
        <v>19.557000000000002</v>
      </c>
      <c r="K138" s="181">
        <f>Futtermittel!N131</f>
        <v>780</v>
      </c>
      <c r="L138" s="179">
        <f>Futtermittel!O131</f>
        <v>780</v>
      </c>
      <c r="M138" s="89">
        <v>200</v>
      </c>
      <c r="N138" s="928">
        <f t="shared" si="2"/>
        <v>761.76896381907284</v>
      </c>
      <c r="O138" s="461"/>
      <c r="P138" s="461"/>
      <c r="Q138" s="461"/>
      <c r="R138" s="461"/>
      <c r="S138" s="461"/>
      <c r="T138" s="461"/>
      <c r="U138" s="461"/>
      <c r="V138" s="461"/>
      <c r="W138" s="461"/>
      <c r="X138" s="461"/>
      <c r="Y138" s="461"/>
      <c r="Z138" s="461"/>
      <c r="AA138" s="461"/>
      <c r="AB138" s="461"/>
      <c r="AC138" s="461"/>
      <c r="AD138" s="461"/>
      <c r="AE138" s="461"/>
    </row>
    <row r="139" spans="1:31" s="462" customFormat="1" hidden="1">
      <c r="A139" s="932"/>
      <c r="B139" s="927" t="str">
        <f>Futtermittel!A132</f>
        <v xml:space="preserve">Methionin (DL-Meth.) 58% RP </v>
      </c>
      <c r="C139" s="176">
        <f>Futtermittel!E132</f>
        <v>58</v>
      </c>
      <c r="D139" s="913">
        <f>Futtermittel!F132</f>
        <v>0</v>
      </c>
      <c r="E139" s="176">
        <f>Futtermittel!G132</f>
        <v>0</v>
      </c>
      <c r="F139" s="176">
        <f>Futtermittel!H132</f>
        <v>995</v>
      </c>
      <c r="G139" s="176">
        <f>Futtermittel!I132</f>
        <v>584</v>
      </c>
      <c r="H139" s="176">
        <f>Futtermittel!J132</f>
        <v>584</v>
      </c>
      <c r="I139" s="176">
        <f>Futtermittel!K132</f>
        <v>0</v>
      </c>
      <c r="J139" s="1374">
        <f>Futtermittel!L132</f>
        <v>11.972000000000001</v>
      </c>
      <c r="K139" s="181">
        <f>Futtermittel!N132</f>
        <v>0</v>
      </c>
      <c r="L139" s="179">
        <f>Futtermittel!O132</f>
        <v>0</v>
      </c>
      <c r="M139" s="89">
        <v>45</v>
      </c>
      <c r="N139" s="928">
        <f t="shared" si="2"/>
        <v>10.4053047269171</v>
      </c>
      <c r="O139" s="461"/>
      <c r="P139" s="461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  <c r="AA139" s="461"/>
      <c r="AB139" s="461"/>
      <c r="AC139" s="461"/>
      <c r="AD139" s="461"/>
      <c r="AE139" s="461"/>
    </row>
    <row r="140" spans="1:31" s="462" customFormat="1" hidden="1">
      <c r="A140" s="932"/>
      <c r="B140" s="927" t="str">
        <f>Futtermittel!A133</f>
        <v xml:space="preserve">Threonin (L-Thr.) 73% RP </v>
      </c>
      <c r="C140" s="176">
        <f>Futtermittel!E133</f>
        <v>73</v>
      </c>
      <c r="D140" s="913">
        <f>Futtermittel!F133</f>
        <v>0</v>
      </c>
      <c r="E140" s="176">
        <f>Futtermittel!G133</f>
        <v>0</v>
      </c>
      <c r="F140" s="176">
        <f>Futtermittel!H133</f>
        <v>995</v>
      </c>
      <c r="G140" s="176">
        <f>Futtermittel!I133</f>
        <v>731</v>
      </c>
      <c r="H140" s="176">
        <f>Futtermittel!J133</f>
        <v>731</v>
      </c>
      <c r="I140" s="176">
        <f>Futtermittel!K133</f>
        <v>0</v>
      </c>
      <c r="J140" s="1374">
        <f>Futtermittel!L133</f>
        <v>14.9855</v>
      </c>
      <c r="K140" s="181">
        <f>Futtermittel!N133</f>
        <v>0</v>
      </c>
      <c r="L140" s="179">
        <f>Futtermittel!O133</f>
        <v>0</v>
      </c>
      <c r="M140" s="89">
        <v>46</v>
      </c>
      <c r="N140" s="928">
        <f t="shared" si="2"/>
        <v>13.024448211260959</v>
      </c>
      <c r="O140" s="461"/>
      <c r="P140" s="461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  <c r="AA140" s="461"/>
      <c r="AB140" s="461"/>
      <c r="AC140" s="461"/>
      <c r="AD140" s="461"/>
      <c r="AE140" s="461"/>
    </row>
    <row r="141" spans="1:31" s="462" customFormat="1" hidden="1">
      <c r="A141" s="932"/>
      <c r="B141" s="927" t="str">
        <f>Futtermittel!A134</f>
        <v xml:space="preserve">Tryptophan (L-Try.) 85% RP </v>
      </c>
      <c r="C141" s="176">
        <f>Futtermittel!E134</f>
        <v>85</v>
      </c>
      <c r="D141" s="913">
        <f>Futtermittel!F134</f>
        <v>0</v>
      </c>
      <c r="E141" s="176">
        <f>Futtermittel!G134</f>
        <v>0</v>
      </c>
      <c r="F141" s="176">
        <f>Futtermittel!H134</f>
        <v>995</v>
      </c>
      <c r="G141" s="176">
        <f>Futtermittel!I134</f>
        <v>853</v>
      </c>
      <c r="H141" s="176">
        <f>Futtermittel!J134</f>
        <v>853</v>
      </c>
      <c r="I141" s="176">
        <f>Futtermittel!K134</f>
        <v>0</v>
      </c>
      <c r="J141" s="1374">
        <f>Futtermittel!L134</f>
        <v>17.486499999999999</v>
      </c>
      <c r="K141" s="181">
        <f>Futtermittel!N134</f>
        <v>0</v>
      </c>
      <c r="L141" s="179">
        <f>Futtermittel!O134</f>
        <v>0</v>
      </c>
      <c r="M141" s="89">
        <v>47</v>
      </c>
      <c r="N141" s="928">
        <f t="shared" si="2"/>
        <v>15.198159130240214</v>
      </c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461"/>
      <c r="AB141" s="461"/>
      <c r="AC141" s="461"/>
      <c r="AD141" s="461"/>
      <c r="AE141" s="461"/>
    </row>
    <row r="142" spans="1:31" s="462" customFormat="1" ht="5" customHeight="1">
      <c r="A142" s="932"/>
      <c r="B142" s="927" t="str">
        <f>Futtermittel!A135</f>
        <v xml:space="preserve"> </v>
      </c>
      <c r="C142" s="176" t="str">
        <f>Futtermittel!E135</f>
        <v xml:space="preserve"> </v>
      </c>
      <c r="D142" s="913">
        <f>Futtermittel!F135</f>
        <v>0</v>
      </c>
      <c r="E142" s="176">
        <f>Futtermittel!G135</f>
        <v>0</v>
      </c>
      <c r="F142" s="176">
        <f>Futtermittel!H135</f>
        <v>0</v>
      </c>
      <c r="G142" s="176">
        <f>Futtermittel!I135</f>
        <v>0</v>
      </c>
      <c r="H142" s="176">
        <f>Futtermittel!J135</f>
        <v>0</v>
      </c>
      <c r="I142" s="176">
        <f>Futtermittel!K135</f>
        <v>0</v>
      </c>
      <c r="J142" s="1374">
        <f>Futtermittel!L135</f>
        <v>0</v>
      </c>
      <c r="K142" s="181">
        <f>Futtermittel!N135</f>
        <v>0</v>
      </c>
      <c r="L142" s="179">
        <f>Futtermittel!O135</f>
        <v>0</v>
      </c>
      <c r="M142" s="89"/>
      <c r="N142" s="928"/>
      <c r="O142" s="461"/>
      <c r="P142" s="461"/>
      <c r="Q142" s="461"/>
      <c r="R142" s="461"/>
      <c r="S142" s="461"/>
      <c r="T142" s="461"/>
      <c r="U142" s="461"/>
      <c r="V142" s="461"/>
      <c r="W142" s="461"/>
      <c r="X142" s="461"/>
      <c r="Y142" s="461"/>
      <c r="Z142" s="461"/>
      <c r="AA142" s="461"/>
      <c r="AB142" s="461"/>
      <c r="AC142" s="461"/>
      <c r="AD142" s="461"/>
      <c r="AE142" s="461"/>
    </row>
    <row r="143" spans="1:31" s="462" customFormat="1">
      <c r="A143" s="932"/>
      <c r="B143" s="933" t="str">
        <f>Futtermittel!A136</f>
        <v xml:space="preserve">Sonstige Futtermittel </v>
      </c>
      <c r="C143" s="176" t="str">
        <f>Futtermittel!E136</f>
        <v xml:space="preserve"> </v>
      </c>
      <c r="D143" s="913">
        <f>Futtermittel!F136</f>
        <v>0</v>
      </c>
      <c r="E143" s="176">
        <f>Futtermittel!G136</f>
        <v>0</v>
      </c>
      <c r="F143" s="176">
        <f>Futtermittel!H136</f>
        <v>0</v>
      </c>
      <c r="G143" s="176">
        <f>Futtermittel!I136</f>
        <v>0</v>
      </c>
      <c r="H143" s="176">
        <f>Futtermittel!J136</f>
        <v>0</v>
      </c>
      <c r="I143" s="176">
        <f>Futtermittel!K136</f>
        <v>0</v>
      </c>
      <c r="J143" s="1374">
        <f>Futtermittel!L136</f>
        <v>0</v>
      </c>
      <c r="K143" s="181">
        <f>Futtermittel!N136</f>
        <v>0</v>
      </c>
      <c r="L143" s="179">
        <f>Futtermittel!O136</f>
        <v>0</v>
      </c>
      <c r="M143" s="89"/>
      <c r="N143" s="928" t="str">
        <f>IF(J143=0," ",M$16*(J143*(L$17*J143-J$17*L143)/((J$16*(L$17*J143-J$17*L143))+(J$17*(J$16*L143-L$16*J143))))+M$17*((J143*(L$17*J143-J$17*L143)/((J$16*(L$17*J143-J$17*L143))+(J$17*(J$16*L143-L$16*J143))))*((J$16*L143-L$16*J143)/(L$17*J143-J$17*1.00000000000001*L143))))</f>
        <v xml:space="preserve"> </v>
      </c>
      <c r="O143" s="461"/>
      <c r="P143" s="461"/>
      <c r="Q143" s="461"/>
      <c r="R143" s="461"/>
      <c r="S143" s="461"/>
      <c r="T143" s="461"/>
      <c r="U143" s="461"/>
      <c r="V143" s="461"/>
      <c r="W143" s="461"/>
      <c r="X143" s="461"/>
      <c r="Y143" s="461"/>
      <c r="Z143" s="461"/>
      <c r="AA143" s="461"/>
      <c r="AB143" s="461"/>
      <c r="AC143" s="461"/>
      <c r="AD143" s="461"/>
      <c r="AE143" s="461"/>
    </row>
    <row r="144" spans="1:31" s="462" customFormat="1" ht="5" customHeight="1">
      <c r="A144" s="932"/>
      <c r="B144" s="927" t="str">
        <f>Futtermittel!A137</f>
        <v xml:space="preserve"> </v>
      </c>
      <c r="C144" s="176" t="str">
        <f>Futtermittel!E137</f>
        <v xml:space="preserve"> </v>
      </c>
      <c r="D144" s="913">
        <f>Futtermittel!F137</f>
        <v>0</v>
      </c>
      <c r="E144" s="176">
        <f>Futtermittel!G137</f>
        <v>0</v>
      </c>
      <c r="F144" s="176">
        <f>Futtermittel!H137</f>
        <v>0</v>
      </c>
      <c r="G144" s="176">
        <f>Futtermittel!I137</f>
        <v>0</v>
      </c>
      <c r="H144" s="176">
        <f>Futtermittel!J137</f>
        <v>0</v>
      </c>
      <c r="I144" s="176">
        <f>Futtermittel!K137</f>
        <v>0</v>
      </c>
      <c r="J144" s="1374">
        <f>Futtermittel!L137</f>
        <v>0</v>
      </c>
      <c r="K144" s="181">
        <f>Futtermittel!N137</f>
        <v>0</v>
      </c>
      <c r="L144" s="179">
        <f>Futtermittel!O137</f>
        <v>0</v>
      </c>
      <c r="M144" s="89"/>
      <c r="N144" s="928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  <c r="AB144" s="461"/>
      <c r="AC144" s="461"/>
      <c r="AD144" s="461"/>
      <c r="AE144" s="461"/>
    </row>
    <row r="145" spans="1:31" s="462" customFormat="1" ht="12.75" customHeight="1">
      <c r="A145" s="932"/>
      <c r="B145" s="927" t="str">
        <f>Futtermittel!A138</f>
        <v xml:space="preserve">Ameisensäure </v>
      </c>
      <c r="C145" s="176" t="str">
        <f>Futtermittel!E138</f>
        <v xml:space="preserve"> </v>
      </c>
      <c r="D145" s="913">
        <f>Futtermittel!F138</f>
        <v>0</v>
      </c>
      <c r="E145" s="176">
        <f>Futtermittel!G138</f>
        <v>0</v>
      </c>
      <c r="F145" s="176">
        <f>Futtermittel!H138</f>
        <v>850</v>
      </c>
      <c r="G145" s="176">
        <f>Futtermittel!I138</f>
        <v>0</v>
      </c>
      <c r="H145" s="176">
        <f>Futtermittel!J138</f>
        <v>0</v>
      </c>
      <c r="I145" s="176">
        <f>Futtermittel!K138</f>
        <v>0</v>
      </c>
      <c r="J145" s="1374">
        <f>Futtermittel!L138</f>
        <v>5.8</v>
      </c>
      <c r="K145" s="181">
        <f>Futtermittel!N138</f>
        <v>0</v>
      </c>
      <c r="L145" s="179">
        <f>Futtermittel!O138</f>
        <v>0</v>
      </c>
      <c r="M145" s="89"/>
      <c r="N145" s="928">
        <f t="shared" si="2"/>
        <v>5.0409929348579325</v>
      </c>
      <c r="O145" s="461"/>
      <c r="P145" s="461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  <c r="AA145" s="461"/>
      <c r="AB145" s="461"/>
      <c r="AC145" s="461"/>
      <c r="AD145" s="461"/>
      <c r="AE145" s="461"/>
    </row>
    <row r="146" spans="1:31" s="462" customFormat="1" ht="12.75" hidden="1" customHeight="1">
      <c r="A146" s="932"/>
      <c r="B146" s="927" t="str">
        <f>Futtermittel!A139</f>
        <v xml:space="preserve">Futterkalk CaCO3 </v>
      </c>
      <c r="C146" s="176" t="str">
        <f>Futtermittel!E139</f>
        <v xml:space="preserve"> </v>
      </c>
      <c r="D146" s="913">
        <f>Futtermittel!F139</f>
        <v>0</v>
      </c>
      <c r="E146" s="176">
        <f>Futtermittel!G139</f>
        <v>0</v>
      </c>
      <c r="F146" s="176">
        <f>Futtermittel!H139</f>
        <v>999</v>
      </c>
      <c r="G146" s="176">
        <f>Futtermittel!I139</f>
        <v>0</v>
      </c>
      <c r="H146" s="176">
        <f>Futtermittel!J139</f>
        <v>0</v>
      </c>
      <c r="I146" s="176">
        <f>Futtermittel!K139</f>
        <v>0</v>
      </c>
      <c r="J146" s="1374">
        <f>Futtermittel!L139</f>
        <v>0</v>
      </c>
      <c r="K146" s="181">
        <f>Futtermittel!N139</f>
        <v>0</v>
      </c>
      <c r="L146" s="179">
        <f>Futtermittel!O139</f>
        <v>0</v>
      </c>
      <c r="M146" s="89"/>
      <c r="N146" s="928"/>
      <c r="O146" s="461"/>
      <c r="P146" s="461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  <c r="AA146" s="461"/>
      <c r="AB146" s="461"/>
      <c r="AC146" s="461"/>
      <c r="AD146" s="461"/>
      <c r="AE146" s="461"/>
    </row>
    <row r="147" spans="1:31" s="462" customFormat="1" ht="12.75" customHeight="1">
      <c r="A147" s="932"/>
      <c r="B147" s="927" t="str">
        <f>Futtermittel!A141</f>
        <v>Haferschälkleie 6% RP DLG 2014</v>
      </c>
      <c r="C147" s="176">
        <f>Futtermittel!E141</f>
        <v>6</v>
      </c>
      <c r="D147" s="913" t="str">
        <f>Futtermittel!F141</f>
        <v>DLG 2014</v>
      </c>
      <c r="E147" s="176">
        <f>Futtermittel!G141</f>
        <v>0</v>
      </c>
      <c r="F147" s="176">
        <f>Futtermittel!H141</f>
        <v>900</v>
      </c>
      <c r="G147" s="176">
        <f>Futtermittel!I141</f>
        <v>63</v>
      </c>
      <c r="H147" s="176">
        <f>Futtermittel!J141</f>
        <v>56.7</v>
      </c>
      <c r="I147" s="176">
        <f>Futtermittel!K141</f>
        <v>230</v>
      </c>
      <c r="J147" s="1374">
        <f>Futtermittel!L141</f>
        <v>5.4123710000000003</v>
      </c>
      <c r="K147" s="181">
        <f>Futtermittel!N141</f>
        <v>2.2999999999999998</v>
      </c>
      <c r="L147" s="179">
        <f>Futtermittel!O141</f>
        <v>2.024</v>
      </c>
      <c r="M147" s="89"/>
      <c r="N147" s="928">
        <f>IF(J147=" "," ",M$16*(J147*(L$17*J147-J$17*L147)/((J$16*(L$17*J147-J$17*L147))+(J$17*(J$16*L147-L$16*J147))))+M$17*((J147*(L$17*J147-J$17*L147)/((J$16*(L$17*J147-J$17*L147))+(J$17*(J$16*L147-L$16*J147))))*((J$16*L147-L$16*J147)/(L$17*J147-J$17*1.00000000000001*L147))))</f>
        <v>6.636676268714961</v>
      </c>
      <c r="O147" s="461"/>
      <c r="P147" s="461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461"/>
      <c r="AB147" s="461"/>
      <c r="AC147" s="461"/>
      <c r="AD147" s="461"/>
      <c r="AE147" s="461"/>
    </row>
    <row r="148" spans="1:31" s="462" customFormat="1">
      <c r="A148" s="932"/>
      <c r="B148" s="927" t="str">
        <f>Futtermittel!A142</f>
        <v>Heu Mitte bis Ende Blüte 11% RP DLG 2014</v>
      </c>
      <c r="C148" s="176">
        <f>Futtermittel!E142</f>
        <v>11</v>
      </c>
      <c r="D148" s="913" t="str">
        <f>Futtermittel!F142</f>
        <v>DLG 2014</v>
      </c>
      <c r="E148" s="176">
        <f>Futtermittel!G142</f>
        <v>0</v>
      </c>
      <c r="F148" s="176">
        <f>Futtermittel!H142</f>
        <v>880</v>
      </c>
      <c r="G148" s="176">
        <f>Futtermittel!I142</f>
        <v>106</v>
      </c>
      <c r="H148" s="176">
        <f>Futtermittel!J142</f>
        <v>50.879999999999995</v>
      </c>
      <c r="I148" s="176">
        <f>Futtermittel!K142</f>
        <v>246</v>
      </c>
      <c r="J148" s="1374">
        <f>Futtermittel!L142</f>
        <v>6.1480899999999998</v>
      </c>
      <c r="K148" s="181">
        <f>Futtermittel!N142</f>
        <v>4.7329999999999997</v>
      </c>
      <c r="L148" s="179">
        <f>Futtermittel!O142</f>
        <v>1.4672299999999998</v>
      </c>
      <c r="M148" s="89"/>
      <c r="N148" s="928">
        <f t="shared" si="2"/>
        <v>6.7444932096525134</v>
      </c>
      <c r="O148" s="461"/>
      <c r="P148" s="461"/>
      <c r="Q148" s="461"/>
      <c r="R148" s="461"/>
      <c r="S148" s="461"/>
      <c r="T148" s="461"/>
      <c r="U148" s="461"/>
      <c r="V148" s="461"/>
      <c r="W148" s="461"/>
      <c r="X148" s="461"/>
      <c r="Y148" s="461"/>
      <c r="Z148" s="461"/>
      <c r="AA148" s="461"/>
      <c r="AB148" s="461"/>
      <c r="AC148" s="461"/>
      <c r="AD148" s="461"/>
      <c r="AE148" s="461"/>
    </row>
    <row r="149" spans="1:31" s="462" customFormat="1" hidden="1">
      <c r="A149" s="932"/>
      <c r="B149" s="927" t="str">
        <f>Futtermittel!A143</f>
        <v xml:space="preserve">Lignocellulose (Faserkonzentrat) 1% RP </v>
      </c>
      <c r="C149" s="176">
        <f>Futtermittel!E143</f>
        <v>1</v>
      </c>
      <c r="D149" s="913">
        <f>Futtermittel!F143</f>
        <v>0</v>
      </c>
      <c r="E149" s="176">
        <f>Futtermittel!G143</f>
        <v>0</v>
      </c>
      <c r="F149" s="176">
        <f>Futtermittel!H143</f>
        <v>927</v>
      </c>
      <c r="G149" s="176">
        <f>Futtermittel!I143</f>
        <v>12</v>
      </c>
      <c r="H149" s="176">
        <f>Futtermittel!J143</f>
        <v>5.4</v>
      </c>
      <c r="I149" s="176">
        <f>Futtermittel!K143</f>
        <v>671</v>
      </c>
      <c r="J149" s="1374">
        <f>Futtermittel!L143</f>
        <v>0</v>
      </c>
      <c r="K149" s="181">
        <f>Futtermittel!N143</f>
        <v>0</v>
      </c>
      <c r="L149" s="179">
        <f>Futtermittel!O143</f>
        <v>0</v>
      </c>
      <c r="M149" s="89"/>
      <c r="N149" s="928"/>
      <c r="O149" s="461"/>
      <c r="P149" s="461"/>
      <c r="Q149" s="461"/>
      <c r="R149" s="461"/>
      <c r="S149" s="461"/>
      <c r="T149" s="461"/>
      <c r="U149" s="461"/>
      <c r="V149" s="461"/>
      <c r="W149" s="461"/>
      <c r="X149" s="461"/>
      <c r="Y149" s="461"/>
      <c r="Z149" s="461"/>
      <c r="AA149" s="461"/>
      <c r="AB149" s="461"/>
      <c r="AC149" s="461"/>
      <c r="AD149" s="461"/>
      <c r="AE149" s="461"/>
    </row>
    <row r="150" spans="1:31" s="462" customFormat="1">
      <c r="A150" s="932"/>
      <c r="B150" s="927" t="str">
        <f>Futtermittel!A144</f>
        <v>Luzerne, frisch 4% RP DLG 2014</v>
      </c>
      <c r="C150" s="176">
        <f>Futtermittel!E144</f>
        <v>4</v>
      </c>
      <c r="D150" s="913" t="str">
        <f>Futtermittel!F144</f>
        <v>DLG 2014</v>
      </c>
      <c r="E150" s="176">
        <f>Futtermittel!G144</f>
        <v>0</v>
      </c>
      <c r="F150" s="176">
        <f>Futtermittel!H144</f>
        <v>170</v>
      </c>
      <c r="G150" s="176">
        <f>Futtermittel!I144</f>
        <v>37</v>
      </c>
      <c r="H150" s="176">
        <f>Futtermittel!J144</f>
        <v>17.39</v>
      </c>
      <c r="I150" s="176">
        <f>Futtermittel!K144</f>
        <v>43</v>
      </c>
      <c r="J150" s="1374">
        <f>Futtermittel!L144</f>
        <v>1.558573</v>
      </c>
      <c r="K150" s="181">
        <f>Futtermittel!N144</f>
        <v>1.6173590909090911</v>
      </c>
      <c r="L150" s="179">
        <f>Futtermittel!O144</f>
        <v>0.80867954545454557</v>
      </c>
      <c r="M150" s="89">
        <v>25</v>
      </c>
      <c r="N150" s="928">
        <f>IF(J150=" "," ",M$16*(J150*(L$17*J150-J$17*L150)/((J$16*(L$17*J150-J$17*L150))+(J$17*(J$16*L150-L$16*J150))))+M$17*((J150*(L$17*J150-J$17*L150)/((J$16*(L$17*J150-J$17*L150))+(J$17*(J$16*L150-L$16*J150))))*((J$16*L150-L$16*J150)/(L$17*J150-J$17*1.00000000000001*L150))))</f>
        <v>2.1267685033772836</v>
      </c>
      <c r="O150" s="461"/>
      <c r="P150" s="461"/>
      <c r="Q150" s="461"/>
      <c r="R150" s="461"/>
      <c r="S150" s="461"/>
      <c r="T150" s="461"/>
      <c r="U150" s="461"/>
      <c r="V150" s="461"/>
      <c r="W150" s="461"/>
      <c r="X150" s="461"/>
      <c r="Y150" s="461"/>
      <c r="Z150" s="461"/>
      <c r="AA150" s="461"/>
      <c r="AB150" s="461"/>
      <c r="AC150" s="461"/>
      <c r="AD150" s="461"/>
      <c r="AE150" s="461"/>
    </row>
    <row r="151" spans="1:31" s="462" customFormat="1">
      <c r="A151" s="932"/>
      <c r="B151" s="927" t="str">
        <f>Futtermittel!A145</f>
        <v>Luzernegrünmehl jung unter 23% XF 20% RP DLG 2005</v>
      </c>
      <c r="C151" s="176">
        <f>Futtermittel!E145</f>
        <v>20</v>
      </c>
      <c r="D151" s="913" t="str">
        <f>Futtermittel!F145</f>
        <v>DLG 2005</v>
      </c>
      <c r="E151" s="176">
        <f>Futtermittel!G145</f>
        <v>0</v>
      </c>
      <c r="F151" s="176">
        <f>Futtermittel!H145</f>
        <v>900</v>
      </c>
      <c r="G151" s="176">
        <f>Futtermittel!I145</f>
        <v>196</v>
      </c>
      <c r="H151" s="176">
        <f>Futtermittel!J145</f>
        <v>88.2</v>
      </c>
      <c r="I151" s="176">
        <f>Futtermittel!K145</f>
        <v>200</v>
      </c>
      <c r="J151" s="1374">
        <f>Futtermittel!L145</f>
        <v>7.2117190000000004</v>
      </c>
      <c r="K151" s="181">
        <f>Futtermittel!N145</f>
        <v>8.5677363636363655</v>
      </c>
      <c r="L151" s="179">
        <f>Futtermittel!O145</f>
        <v>3.9411587272727284</v>
      </c>
      <c r="M151" s="89">
        <v>26</v>
      </c>
      <c r="N151" s="928">
        <f t="shared" si="2"/>
        <v>10.031125822782535</v>
      </c>
      <c r="O151" s="461"/>
      <c r="P151" s="461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  <c r="AA151" s="461"/>
      <c r="AB151" s="461"/>
      <c r="AC151" s="461"/>
      <c r="AD151" s="461"/>
      <c r="AE151" s="461"/>
    </row>
    <row r="152" spans="1:31" s="462" customFormat="1">
      <c r="A152" s="932"/>
      <c r="B152" s="927" t="str">
        <f>Futtermittel!A146</f>
        <v>Luzernegrünmehl älter über 23% XF 17% RP DLG 2014</v>
      </c>
      <c r="C152" s="176">
        <f>Futtermittel!E146</f>
        <v>17</v>
      </c>
      <c r="D152" s="913" t="str">
        <f>Futtermittel!F146</f>
        <v>DLG 2014</v>
      </c>
      <c r="E152" s="176">
        <f>Futtermittel!G146</f>
        <v>0</v>
      </c>
      <c r="F152" s="176">
        <f>Futtermittel!H146</f>
        <v>900</v>
      </c>
      <c r="G152" s="176">
        <f>Futtermittel!I146</f>
        <v>167</v>
      </c>
      <c r="H152" s="176">
        <f>Futtermittel!J146</f>
        <v>75.150000000000006</v>
      </c>
      <c r="I152" s="176">
        <f>Futtermittel!K146</f>
        <v>237</v>
      </c>
      <c r="J152" s="1374">
        <f>Futtermittel!L146</f>
        <v>7.1883229999999996</v>
      </c>
      <c r="K152" s="181">
        <f>Futtermittel!N146</f>
        <v>7.2743363636363636</v>
      </c>
      <c r="L152" s="179">
        <f>Futtermittel!O146</f>
        <v>3.3461947272727275</v>
      </c>
      <c r="M152" s="89">
        <v>26</v>
      </c>
      <c r="N152" s="928">
        <f t="shared" si="2"/>
        <v>9.442699082011492</v>
      </c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461"/>
      <c r="AB152" s="461"/>
      <c r="AC152" s="461"/>
      <c r="AD152" s="461"/>
      <c r="AE152" s="461"/>
    </row>
    <row r="153" spans="1:31" s="462" customFormat="1">
      <c r="A153" s="932"/>
      <c r="B153" s="927" t="str">
        <f>Futtermittel!A147</f>
        <v xml:space="preserve">eigenes Grünmehl </v>
      </c>
      <c r="C153" s="176" t="str">
        <f>Futtermittel!E147</f>
        <v xml:space="preserve"> </v>
      </c>
      <c r="D153" s="913">
        <f>Futtermittel!F147</f>
        <v>0</v>
      </c>
      <c r="E153" s="176">
        <f>Futtermittel!G147</f>
        <v>0</v>
      </c>
      <c r="F153" s="176">
        <f>Futtermittel!H147</f>
        <v>0</v>
      </c>
      <c r="G153" s="176">
        <f>Futtermittel!I147</f>
        <v>0</v>
      </c>
      <c r="H153" s="176" t="str">
        <f>Futtermittel!J147</f>
        <v xml:space="preserve"> </v>
      </c>
      <c r="I153" s="176">
        <f>Futtermittel!K147</f>
        <v>0</v>
      </c>
      <c r="J153" s="1374" t="str">
        <f>Futtermittel!L147</f>
        <v xml:space="preserve"> </v>
      </c>
      <c r="K153" s="181" t="str">
        <f>Futtermittel!N147</f>
        <v xml:space="preserve"> </v>
      </c>
      <c r="L153" s="179" t="str">
        <f>Futtermittel!O147</f>
        <v xml:space="preserve"> </v>
      </c>
      <c r="M153" s="89">
        <v>26</v>
      </c>
      <c r="N153" s="928" t="str">
        <f t="shared" si="2"/>
        <v xml:space="preserve"> </v>
      </c>
      <c r="O153" s="461"/>
      <c r="P153" s="461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  <c r="AA153" s="461"/>
      <c r="AB153" s="461"/>
      <c r="AC153" s="461"/>
      <c r="AD153" s="461"/>
      <c r="AE153" s="461"/>
    </row>
    <row r="154" spans="1:31" s="462" customFormat="1">
      <c r="A154" s="932"/>
      <c r="B154" s="927" t="str">
        <f>Futtermittel!A148</f>
        <v>Melasseschnitzel 9% RP DLG 2014</v>
      </c>
      <c r="C154" s="176">
        <f>Futtermittel!E148</f>
        <v>9</v>
      </c>
      <c r="D154" s="913" t="str">
        <f>Futtermittel!F148</f>
        <v>DLG 2014</v>
      </c>
      <c r="E154" s="176">
        <f>Futtermittel!G148</f>
        <v>0</v>
      </c>
      <c r="F154" s="176">
        <f>Futtermittel!H148</f>
        <v>910</v>
      </c>
      <c r="G154" s="176">
        <f>Futtermittel!I148</f>
        <v>91</v>
      </c>
      <c r="H154" s="176">
        <f>Futtermittel!J148</f>
        <v>22.75</v>
      </c>
      <c r="I154" s="176">
        <f>Futtermittel!K148</f>
        <v>137</v>
      </c>
      <c r="J154" s="1374">
        <f>Futtermittel!L148</f>
        <v>10.532319000000001</v>
      </c>
      <c r="K154" s="181">
        <f>Futtermittel!N148</f>
        <v>4.9628090909090909</v>
      </c>
      <c r="L154" s="179">
        <f>Futtermittel!O148</f>
        <v>3.7221068181818184</v>
      </c>
      <c r="M154" s="89">
        <v>23</v>
      </c>
      <c r="N154" s="928">
        <f t="shared" si="2"/>
        <v>12.708022774084061</v>
      </c>
      <c r="O154" s="461"/>
      <c r="P154" s="461"/>
      <c r="Q154" s="461"/>
      <c r="R154" s="461"/>
      <c r="S154" s="461"/>
      <c r="T154" s="461"/>
      <c r="U154" s="461"/>
      <c r="V154" s="461"/>
      <c r="W154" s="461"/>
      <c r="X154" s="461"/>
      <c r="Y154" s="461"/>
      <c r="Z154" s="461"/>
      <c r="AA154" s="461"/>
      <c r="AB154" s="461"/>
      <c r="AC154" s="461"/>
      <c r="AD154" s="461"/>
      <c r="AE154" s="461"/>
    </row>
    <row r="155" spans="1:31" s="462" customFormat="1">
      <c r="A155" s="932"/>
      <c r="B155" s="927" t="str">
        <f>Futtermittel!A149</f>
        <v>Melasseschnitzel zuckerreich 11% RP DLG 2005</v>
      </c>
      <c r="C155" s="176">
        <f>Futtermittel!E149</f>
        <v>11</v>
      </c>
      <c r="D155" s="913" t="str">
        <f>Futtermittel!F149</f>
        <v>DLG 2005</v>
      </c>
      <c r="E155" s="176">
        <f>Futtermittel!G149</f>
        <v>0</v>
      </c>
      <c r="F155" s="176">
        <f>Futtermittel!H149</f>
        <v>900</v>
      </c>
      <c r="G155" s="176">
        <f>Futtermittel!I149</f>
        <v>113</v>
      </c>
      <c r="H155" s="176">
        <f>Futtermittel!J149</f>
        <v>28.25</v>
      </c>
      <c r="I155" s="176">
        <f>Futtermittel!K149</f>
        <v>129</v>
      </c>
      <c r="J155" s="1374">
        <f>Futtermittel!L149</f>
        <v>10.93554</v>
      </c>
      <c r="K155" s="181">
        <f>Futtermittel!N149</f>
        <v>6.4239727272727274</v>
      </c>
      <c r="L155" s="179">
        <f>Futtermittel!O149</f>
        <v>4.8179795454545458</v>
      </c>
      <c r="M155" s="89">
        <v>23</v>
      </c>
      <c r="N155" s="928">
        <f t="shared" si="2"/>
        <v>14.104854523906207</v>
      </c>
      <c r="O155" s="461"/>
      <c r="P155" s="461"/>
      <c r="Q155" s="461"/>
      <c r="R155" s="461"/>
      <c r="S155" s="461"/>
      <c r="T155" s="461"/>
      <c r="U155" s="461"/>
      <c r="V155" s="461"/>
      <c r="W155" s="461"/>
      <c r="X155" s="461"/>
      <c r="Y155" s="461"/>
      <c r="Z155" s="461"/>
      <c r="AA155" s="461"/>
      <c r="AB155" s="461"/>
      <c r="AC155" s="461"/>
      <c r="AD155" s="461"/>
      <c r="AE155" s="461"/>
    </row>
    <row r="156" spans="1:31" s="462" customFormat="1">
      <c r="A156" s="932"/>
      <c r="B156" s="927" t="str">
        <f>Futtermittel!A150</f>
        <v>Obstrester (Apfel), getrocknet 5% RP DLG FuDb</v>
      </c>
      <c r="C156" s="176">
        <f>Futtermittel!E150</f>
        <v>5</v>
      </c>
      <c r="D156" s="913" t="str">
        <f>Futtermittel!F150</f>
        <v>DLG FuDb</v>
      </c>
      <c r="E156" s="176">
        <f>Futtermittel!G150</f>
        <v>0</v>
      </c>
      <c r="F156" s="176">
        <f>Futtermittel!H150</f>
        <v>900</v>
      </c>
      <c r="G156" s="176">
        <f>Futtermittel!I150</f>
        <v>50.301000000000002</v>
      </c>
      <c r="H156" s="176">
        <f>Futtermittel!J150</f>
        <v>36.216720000000002</v>
      </c>
      <c r="I156" s="176">
        <f>Futtermittel!K150</f>
        <v>186.39</v>
      </c>
      <c r="J156" s="1374">
        <f>Futtermittel!L150</f>
        <v>7.5826408409999999</v>
      </c>
      <c r="K156" s="181">
        <f>Futtermittel!N150</f>
        <v>4.8600000000000003</v>
      </c>
      <c r="L156" s="179">
        <f>Futtermittel!O150</f>
        <v>2.2356000000000003</v>
      </c>
      <c r="M156" s="89">
        <v>30</v>
      </c>
      <c r="N156" s="928">
        <f t="shared" si="2"/>
        <v>8.7249805388106179</v>
      </c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61"/>
      <c r="AD156" s="461"/>
      <c r="AE156" s="461"/>
    </row>
    <row r="157" spans="1:31" s="462" customFormat="1">
      <c r="A157" s="932"/>
      <c r="B157" s="927" t="str">
        <f>Futtermittel!A151</f>
        <v xml:space="preserve">Propionsäure </v>
      </c>
      <c r="C157" s="176" t="str">
        <f>Futtermittel!E151</f>
        <v xml:space="preserve"> </v>
      </c>
      <c r="D157" s="913">
        <f>Futtermittel!F151</f>
        <v>0</v>
      </c>
      <c r="E157" s="176">
        <f>Futtermittel!G151</f>
        <v>0</v>
      </c>
      <c r="F157" s="176">
        <f>Futtermittel!H151</f>
        <v>990</v>
      </c>
      <c r="G157" s="176">
        <f>Futtermittel!I151</f>
        <v>0</v>
      </c>
      <c r="H157" s="176">
        <f>Futtermittel!J151</f>
        <v>0</v>
      </c>
      <c r="I157" s="176">
        <f>Futtermittel!K151</f>
        <v>0</v>
      </c>
      <c r="J157" s="1374">
        <f>Futtermittel!L151</f>
        <v>19.822217008797654</v>
      </c>
      <c r="K157" s="181">
        <f>Futtermittel!N151</f>
        <v>0</v>
      </c>
      <c r="L157" s="179">
        <f>Futtermittel!O151</f>
        <v>0</v>
      </c>
      <c r="M157" s="89"/>
      <c r="N157" s="928">
        <f t="shared" si="2"/>
        <v>17.228216533546505</v>
      </c>
      <c r="O157" s="461"/>
      <c r="P157" s="461"/>
      <c r="Q157" s="461"/>
      <c r="R157" s="461"/>
      <c r="S157" s="461"/>
      <c r="T157" s="461"/>
      <c r="U157" s="461"/>
      <c r="V157" s="461"/>
      <c r="W157" s="461"/>
      <c r="X157" s="461"/>
      <c r="Y157" s="461"/>
      <c r="Z157" s="461"/>
      <c r="AA157" s="461"/>
      <c r="AB157" s="461"/>
      <c r="AC157" s="461"/>
      <c r="AD157" s="461"/>
      <c r="AE157" s="461"/>
    </row>
    <row r="158" spans="1:31" s="462" customFormat="1">
      <c r="A158" s="932"/>
      <c r="B158" s="1517" t="str">
        <f>Futtermittel!A152</f>
        <v>Fischöl / Lachsöl DLG 2014</v>
      </c>
      <c r="C158" s="1518" t="str">
        <f>Futtermittel!E152</f>
        <v xml:space="preserve"> </v>
      </c>
      <c r="D158" s="1519" t="str">
        <f>Futtermittel!F152</f>
        <v>DLG 2014</v>
      </c>
      <c r="E158" s="1518">
        <f>Futtermittel!G152</f>
        <v>0</v>
      </c>
      <c r="F158" s="1518">
        <f>Futtermittel!H152</f>
        <v>999</v>
      </c>
      <c r="G158" s="1518">
        <f>Futtermittel!I152</f>
        <v>0</v>
      </c>
      <c r="H158" s="1518">
        <f>Futtermittel!J152</f>
        <v>0</v>
      </c>
      <c r="I158" s="1518">
        <f>Futtermittel!K152</f>
        <v>0</v>
      </c>
      <c r="J158" s="1520">
        <f>Futtermittel!L152</f>
        <v>38.925992000000001</v>
      </c>
      <c r="K158" s="1521">
        <f>Futtermittel!N152</f>
        <v>0</v>
      </c>
      <c r="L158" s="1522">
        <f>Futtermittel!O152</f>
        <v>0</v>
      </c>
      <c r="M158" s="1523"/>
      <c r="N158" s="928">
        <f>IF(J158=" "," ",M$16*(J158*(L$17*J158-J$17*L158)/((J$16*(L$17*J158-J$17*L158))+(J$17*(J$16*L158-L$16*J158))))+M$17*((J158*(L$17*J158-J$17*L158)/((J$16*(L$17*J158-J$17*L158))+(J$17*(J$16*L158-L$16*J158))))*((J$16*L158-L$16*J158)/(L$17*J158-J$17*1.00000000000001*L158))))</f>
        <v>33.832008733506292</v>
      </c>
      <c r="O158" s="461"/>
      <c r="P158" s="461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  <c r="AA158" s="461"/>
      <c r="AB158" s="461"/>
      <c r="AC158" s="461"/>
      <c r="AD158" s="461"/>
      <c r="AE158" s="461"/>
    </row>
    <row r="159" spans="1:31" s="462" customFormat="1">
      <c r="A159" s="932"/>
      <c r="B159" s="934" t="str">
        <f>Futtermittel!A153</f>
        <v>Rapsöl / Pflanzenöl DLG 2014</v>
      </c>
      <c r="C159" s="937" t="str">
        <f>Futtermittel!E153</f>
        <v xml:space="preserve"> </v>
      </c>
      <c r="D159" s="936" t="str">
        <f>Futtermittel!F153</f>
        <v>DLG 2014</v>
      </c>
      <c r="E159" s="937">
        <f>Futtermittel!G153</f>
        <v>0</v>
      </c>
      <c r="F159" s="937">
        <f>Futtermittel!H153</f>
        <v>999</v>
      </c>
      <c r="G159" s="937">
        <f>Futtermittel!I153</f>
        <v>0</v>
      </c>
      <c r="H159" s="937">
        <f>Futtermittel!J153</f>
        <v>0</v>
      </c>
      <c r="I159" s="937">
        <f>Futtermittel!K153</f>
        <v>0</v>
      </c>
      <c r="J159" s="1375">
        <f>Futtermittel!L153</f>
        <v>38.925992000000001</v>
      </c>
      <c r="K159" s="935">
        <f>Futtermittel!N153</f>
        <v>0</v>
      </c>
      <c r="L159" s="938">
        <f>Futtermittel!O153</f>
        <v>0</v>
      </c>
      <c r="M159" s="939">
        <v>125</v>
      </c>
      <c r="N159" s="928">
        <f t="shared" si="2"/>
        <v>33.832008733506292</v>
      </c>
      <c r="O159" s="461"/>
      <c r="P159" s="461"/>
      <c r="Q159" s="461"/>
      <c r="R159" s="461"/>
      <c r="S159" s="461"/>
      <c r="T159" s="461"/>
      <c r="U159" s="461"/>
      <c r="V159" s="461"/>
      <c r="W159" s="461"/>
      <c r="X159" s="461"/>
      <c r="Y159" s="461"/>
      <c r="Z159" s="461"/>
      <c r="AA159" s="461"/>
      <c r="AB159" s="461"/>
      <c r="AC159" s="461"/>
      <c r="AD159" s="461"/>
      <c r="AE159" s="461"/>
    </row>
    <row r="160" spans="1:31" s="462" customFormat="1">
      <c r="A160" s="932"/>
      <c r="B160" s="934" t="str">
        <f>Futtermittel!A154</f>
        <v>Sojaöl / Pflanzenöl DLG 2014</v>
      </c>
      <c r="C160" s="937" t="str">
        <f>Futtermittel!E154</f>
        <v xml:space="preserve"> </v>
      </c>
      <c r="D160" s="936" t="str">
        <f>Futtermittel!F154</f>
        <v>DLG 2014</v>
      </c>
      <c r="E160" s="937">
        <f>Futtermittel!G154</f>
        <v>0</v>
      </c>
      <c r="F160" s="937">
        <f>Futtermittel!H154</f>
        <v>999</v>
      </c>
      <c r="G160" s="937">
        <f>Futtermittel!I154</f>
        <v>0</v>
      </c>
      <c r="H160" s="937">
        <f>Futtermittel!J154</f>
        <v>0</v>
      </c>
      <c r="I160" s="937">
        <f>Futtermittel!K154</f>
        <v>0</v>
      </c>
      <c r="J160" s="1375">
        <f>Futtermittel!L154</f>
        <v>38.925992000000001</v>
      </c>
      <c r="K160" s="935">
        <f>Futtermittel!N154</f>
        <v>0</v>
      </c>
      <c r="L160" s="938">
        <f>Futtermittel!O154</f>
        <v>0</v>
      </c>
      <c r="M160" s="939">
        <v>120</v>
      </c>
      <c r="N160" s="928">
        <f t="shared" si="2"/>
        <v>33.832008733506292</v>
      </c>
      <c r="O160" s="461"/>
      <c r="P160" s="461"/>
      <c r="Q160" s="461"/>
      <c r="R160" s="461"/>
      <c r="S160" s="461"/>
      <c r="T160" s="461"/>
      <c r="U160" s="461"/>
      <c r="V160" s="461"/>
      <c r="W160" s="461"/>
      <c r="X160" s="461"/>
      <c r="Y160" s="461"/>
      <c r="Z160" s="461"/>
      <c r="AA160" s="461"/>
      <c r="AB160" s="461"/>
      <c r="AC160" s="461"/>
      <c r="AD160" s="461"/>
      <c r="AE160" s="461"/>
    </row>
    <row r="161" spans="1:31" s="462" customFormat="1">
      <c r="A161" s="932"/>
      <c r="B161" s="927" t="str">
        <f>Futtermittel!A155</f>
        <v xml:space="preserve">Reinglycerin 99,5 - 99,9 % </v>
      </c>
      <c r="C161" s="176" t="str">
        <f>Futtermittel!E155</f>
        <v xml:space="preserve"> </v>
      </c>
      <c r="D161" s="913">
        <f>Futtermittel!F155</f>
        <v>0</v>
      </c>
      <c r="E161" s="176">
        <f>Futtermittel!G155</f>
        <v>0</v>
      </c>
      <c r="F161" s="176">
        <f>Futtermittel!H155</f>
        <v>997</v>
      </c>
      <c r="G161" s="176">
        <f>Futtermittel!I155</f>
        <v>0</v>
      </c>
      <c r="H161" s="176">
        <f>Futtermittel!J155</f>
        <v>0</v>
      </c>
      <c r="I161" s="176">
        <f>Futtermittel!K155</f>
        <v>0</v>
      </c>
      <c r="J161" s="1374">
        <f>Futtermittel!L155</f>
        <v>17.5</v>
      </c>
      <c r="K161" s="181">
        <f>Futtermittel!N155</f>
        <v>0</v>
      </c>
      <c r="L161" s="179">
        <f>Futtermittel!O155</f>
        <v>0</v>
      </c>
      <c r="M161" s="89">
        <v>56</v>
      </c>
      <c r="N161" s="928">
        <f t="shared" si="2"/>
        <v>15.209892475864455</v>
      </c>
      <c r="O161" s="461"/>
      <c r="P161" s="461"/>
      <c r="Q161" s="461"/>
      <c r="R161" s="461"/>
      <c r="S161" s="461"/>
      <c r="T161" s="461"/>
      <c r="U161" s="461"/>
      <c r="V161" s="461"/>
      <c r="W161" s="461"/>
      <c r="X161" s="461"/>
      <c r="Y161" s="461"/>
      <c r="Z161" s="461"/>
      <c r="AA161" s="461"/>
      <c r="AB161" s="461"/>
      <c r="AC161" s="461"/>
      <c r="AD161" s="461"/>
      <c r="AE161" s="461"/>
    </row>
    <row r="162" spans="1:31" s="462" customFormat="1">
      <c r="A162" s="932"/>
      <c r="B162" s="927" t="str">
        <f>Futtermittel!A156</f>
        <v>Rohglycerin 80 - 82 % DLG 2014</v>
      </c>
      <c r="C162" s="176" t="str">
        <f>Futtermittel!E156</f>
        <v xml:space="preserve"> </v>
      </c>
      <c r="D162" s="913" t="str">
        <f>Futtermittel!F156</f>
        <v>DLG 2014</v>
      </c>
      <c r="E162" s="176">
        <f>Futtermittel!G156</f>
        <v>0</v>
      </c>
      <c r="F162" s="176">
        <f>Futtermittel!H156</f>
        <v>880</v>
      </c>
      <c r="G162" s="176">
        <f>Futtermittel!I156</f>
        <v>0</v>
      </c>
      <c r="H162" s="176">
        <f>Futtermittel!J156</f>
        <v>0</v>
      </c>
      <c r="I162" s="176">
        <f>Futtermittel!K156</f>
        <v>0</v>
      </c>
      <c r="J162" s="1374">
        <f>Futtermittel!L156</f>
        <v>14.37224</v>
      </c>
      <c r="K162" s="181">
        <f>Futtermittel!N156</f>
        <v>0</v>
      </c>
      <c r="L162" s="179">
        <f>Futtermittel!O156</f>
        <v>0</v>
      </c>
      <c r="M162" s="89">
        <v>45</v>
      </c>
      <c r="N162" s="928">
        <f t="shared" si="2"/>
        <v>12.491441430703894</v>
      </c>
      <c r="O162" s="461"/>
      <c r="P162" s="461"/>
      <c r="Q162" s="461"/>
      <c r="R162" s="461"/>
      <c r="S162" s="461"/>
      <c r="T162" s="461"/>
      <c r="U162" s="461"/>
      <c r="V162" s="461"/>
      <c r="W162" s="461"/>
      <c r="X162" s="461"/>
      <c r="Y162" s="461"/>
      <c r="Z162" s="461"/>
      <c r="AA162" s="461"/>
      <c r="AB162" s="461"/>
      <c r="AC162" s="461"/>
      <c r="AD162" s="461"/>
      <c r="AE162" s="461"/>
    </row>
    <row r="163" spans="1:31" s="462" customFormat="1">
      <c r="A163" s="932"/>
      <c r="B163" s="927" t="str">
        <f>Futtermittel!A157</f>
        <v>Sojabohnenschalen 12% RP DLG 2014</v>
      </c>
      <c r="C163" s="176">
        <f>Futtermittel!E157</f>
        <v>12</v>
      </c>
      <c r="D163" s="913" t="str">
        <f>Futtermittel!F157</f>
        <v>DLG 2014</v>
      </c>
      <c r="E163" s="176">
        <f>Futtermittel!G157</f>
        <v>0</v>
      </c>
      <c r="F163" s="176">
        <f>Futtermittel!H157</f>
        <v>880</v>
      </c>
      <c r="G163" s="176">
        <f>Futtermittel!I157</f>
        <v>119</v>
      </c>
      <c r="H163" s="176">
        <f>Futtermittel!J157</f>
        <v>64.260000000000005</v>
      </c>
      <c r="I163" s="176">
        <f>Futtermittel!K157</f>
        <v>334</v>
      </c>
      <c r="J163" s="1374">
        <f>Futtermittel!L157</f>
        <v>7.2218359999999997</v>
      </c>
      <c r="K163" s="181">
        <f>Futtermittel!N157</f>
        <v>7.5060000000000002</v>
      </c>
      <c r="L163" s="179">
        <f>Futtermittel!O157</f>
        <v>4.2033600000000009</v>
      </c>
      <c r="M163" s="89">
        <v>25.5</v>
      </c>
      <c r="N163" s="928">
        <f t="shared" si="2"/>
        <v>10.290277816738818</v>
      </c>
      <c r="O163" s="461"/>
      <c r="P163" s="461"/>
      <c r="Q163" s="461"/>
      <c r="R163" s="461"/>
      <c r="S163" s="461"/>
      <c r="T163" s="461"/>
      <c r="U163" s="461"/>
      <c r="V163" s="461"/>
      <c r="W163" s="461"/>
      <c r="X163" s="461"/>
      <c r="Y163" s="461"/>
      <c r="Z163" s="461"/>
      <c r="AA163" s="461"/>
      <c r="AB163" s="461"/>
      <c r="AC163" s="461"/>
      <c r="AD163" s="461"/>
      <c r="AE163" s="461"/>
    </row>
    <row r="164" spans="1:31" s="462" customFormat="1">
      <c r="A164" s="932"/>
      <c r="B164" s="927" t="str">
        <f>Futtermittel!A158</f>
        <v>Stroh, Gerste 4% RP DLG 2014</v>
      </c>
      <c r="C164" s="176">
        <f>Futtermittel!E158</f>
        <v>4</v>
      </c>
      <c r="D164" s="913" t="str">
        <f>Futtermittel!F158</f>
        <v>DLG 2014</v>
      </c>
      <c r="E164" s="176">
        <f>Futtermittel!G158</f>
        <v>0</v>
      </c>
      <c r="F164" s="176">
        <f>Futtermittel!H158</f>
        <v>860</v>
      </c>
      <c r="G164" s="176">
        <f>Futtermittel!I158</f>
        <v>39</v>
      </c>
      <c r="H164" s="176">
        <f>Futtermittel!J158</f>
        <v>3.9000000000000004</v>
      </c>
      <c r="I164" s="176">
        <f>Futtermittel!K158</f>
        <v>374</v>
      </c>
      <c r="J164" s="1374">
        <f>Futtermittel!L158</f>
        <v>1.9308619999999999</v>
      </c>
      <c r="K164" s="181">
        <f>Futtermittel!N158</f>
        <v>0.8</v>
      </c>
      <c r="L164" s="179">
        <f>Futtermittel!O158</f>
        <v>0</v>
      </c>
      <c r="M164" s="89"/>
      <c r="N164" s="928">
        <f t="shared" si="2"/>
        <v>1.678183051756148</v>
      </c>
      <c r="O164" s="461"/>
      <c r="P164" s="461"/>
      <c r="Q164" s="461"/>
      <c r="R164" s="461"/>
      <c r="S164" s="461"/>
      <c r="T164" s="461"/>
      <c r="U164" s="461"/>
      <c r="V164" s="461"/>
      <c r="W164" s="461"/>
      <c r="X164" s="461"/>
      <c r="Y164" s="461"/>
      <c r="Z164" s="461"/>
      <c r="AA164" s="461"/>
      <c r="AB164" s="461"/>
      <c r="AC164" s="461"/>
      <c r="AD164" s="461"/>
      <c r="AE164" s="461"/>
    </row>
    <row r="165" spans="1:31" s="462" customFormat="1">
      <c r="A165" s="932"/>
      <c r="B165" s="927" t="str">
        <f>Futtermittel!A159</f>
        <v>Stroh, Weizen 3% RP DLG 2014</v>
      </c>
      <c r="C165" s="176">
        <f>Futtermittel!E159</f>
        <v>3</v>
      </c>
      <c r="D165" s="913" t="str">
        <f>Futtermittel!F159</f>
        <v>DLG 2014</v>
      </c>
      <c r="E165" s="176">
        <f>Futtermittel!G159</f>
        <v>0</v>
      </c>
      <c r="F165" s="176">
        <f>Futtermittel!H159</f>
        <v>860</v>
      </c>
      <c r="G165" s="176">
        <f>Futtermittel!I159</f>
        <v>34</v>
      </c>
      <c r="H165" s="176">
        <f>Futtermittel!J159</f>
        <v>3.4000000000000004</v>
      </c>
      <c r="I165" s="176">
        <f>Futtermittel!K159</f>
        <v>370</v>
      </c>
      <c r="J165" s="1374">
        <f>Futtermittel!L159</f>
        <v>1.8986599999999998</v>
      </c>
      <c r="K165" s="181">
        <f>Futtermittel!N159</f>
        <v>0.7</v>
      </c>
      <c r="L165" s="179">
        <f>Futtermittel!O159</f>
        <v>0</v>
      </c>
      <c r="M165" s="89"/>
      <c r="N165" s="928">
        <f>IF(J165=" "," ",M$16*(J165*(L$17*J165-J$17*L165)/((J$16*(L$17*J165-J$17*L165))+(J$17*(J$16*L165-L$16*J165))))+M$17*((J165*(L$17*J165-J$17*L165)/((J$16*(L$17*J165-J$17*L165))+(J$17*(J$16*L165-L$16*J165))))*((J$16*L165-L$16*J165)/(L$17*J165-J$17*1.00000000000001*L165))))</f>
        <v>1.6501951113271314</v>
      </c>
      <c r="O165" s="461"/>
      <c r="P165" s="461"/>
      <c r="Q165" s="461"/>
      <c r="R165" s="461"/>
      <c r="S165" s="461"/>
      <c r="T165" s="461"/>
      <c r="U165" s="461"/>
      <c r="V165" s="461"/>
      <c r="W165" s="461"/>
      <c r="X165" s="461"/>
      <c r="Y165" s="461"/>
      <c r="Z165" s="461"/>
      <c r="AA165" s="461"/>
      <c r="AB165" s="461"/>
      <c r="AC165" s="461"/>
      <c r="AD165" s="461"/>
      <c r="AE165" s="461"/>
    </row>
    <row r="166" spans="1:31" s="462" customFormat="1">
      <c r="A166" s="932"/>
      <c r="B166" s="927" t="str">
        <f>Futtermittel!A160</f>
        <v>Süßmolke 88 % TM 12% RP DLG 2014</v>
      </c>
      <c r="C166" s="176">
        <f>Futtermittel!E160</f>
        <v>12</v>
      </c>
      <c r="D166" s="913" t="str">
        <f>Futtermittel!F160</f>
        <v>DLG 2014</v>
      </c>
      <c r="E166" s="176">
        <f>Futtermittel!G160</f>
        <v>0</v>
      </c>
      <c r="F166" s="176">
        <f>Futtermittel!H160</f>
        <v>880</v>
      </c>
      <c r="G166" s="176">
        <f>Futtermittel!I160</f>
        <v>117.33040000000003</v>
      </c>
      <c r="H166" s="176">
        <f>Futtermittel!J160</f>
        <v>105.59736000000002</v>
      </c>
      <c r="I166" s="176">
        <f>Futtermittel!K160</f>
        <v>0</v>
      </c>
      <c r="J166" s="1374">
        <f>Futtermittel!L160</f>
        <v>12.626251616000003</v>
      </c>
      <c r="K166" s="181">
        <f>Futtermittel!N160</f>
        <v>8.8000000000000007</v>
      </c>
      <c r="L166" s="179">
        <f>Futtermittel!O160</f>
        <v>8.5359999999999996</v>
      </c>
      <c r="M166" s="89"/>
      <c r="N166" s="928">
        <f t="shared" si="2"/>
        <v>19.124409916652247</v>
      </c>
      <c r="O166" s="461"/>
      <c r="P166" s="461"/>
      <c r="Q166" s="461"/>
      <c r="R166" s="461"/>
      <c r="S166" s="461"/>
      <c r="T166" s="461"/>
      <c r="U166" s="461"/>
      <c r="V166" s="461"/>
      <c r="W166" s="461"/>
      <c r="X166" s="461"/>
      <c r="Y166" s="461"/>
      <c r="Z166" s="461"/>
      <c r="AA166" s="461"/>
      <c r="AB166" s="461"/>
      <c r="AC166" s="461"/>
      <c r="AD166" s="461"/>
      <c r="AE166" s="461"/>
    </row>
    <row r="167" spans="1:31">
      <c r="B167" s="927" t="str">
        <f>Futtermittel!A161</f>
        <v>Süßmolke, frisch 1% RP DLG 2014</v>
      </c>
      <c r="C167" s="176">
        <f>Futtermittel!E161</f>
        <v>1</v>
      </c>
      <c r="D167" s="913" t="str">
        <f>Futtermittel!F161</f>
        <v>DLG 2014</v>
      </c>
      <c r="E167" s="176">
        <f>Futtermittel!G161</f>
        <v>0</v>
      </c>
      <c r="F167" s="176">
        <f>Futtermittel!H161</f>
        <v>60</v>
      </c>
      <c r="G167" s="176">
        <f>Futtermittel!I161</f>
        <v>7.9998000000000014</v>
      </c>
      <c r="H167" s="176">
        <f>Futtermittel!J161</f>
        <v>6.3998400000000011</v>
      </c>
      <c r="I167" s="176">
        <f>Futtermittel!K161</f>
        <v>0</v>
      </c>
      <c r="J167" s="1374">
        <f>Futtermittel!L161</f>
        <v>0.86088079199999989</v>
      </c>
      <c r="K167" s="181">
        <f>Futtermittel!N161</f>
        <v>0.6</v>
      </c>
      <c r="L167" s="179">
        <f>Futtermittel!O161</f>
        <v>0.58199999999999996</v>
      </c>
      <c r="M167" s="89"/>
      <c r="N167" s="928">
        <f t="shared" si="2"/>
        <v>1.303937039771744</v>
      </c>
    </row>
    <row r="168" spans="1:31">
      <c r="B168" s="927" t="str">
        <f>Futtermittel!A162</f>
        <v>Sauermolke, milchsauer 88 % TM 8% RP DLG 2014</v>
      </c>
      <c r="C168" s="176">
        <f>Futtermittel!E162</f>
        <v>8</v>
      </c>
      <c r="D168" s="913" t="str">
        <f>Futtermittel!F162</f>
        <v>DLG 2014</v>
      </c>
      <c r="E168" s="176">
        <f>Futtermittel!G162</f>
        <v>0</v>
      </c>
      <c r="F168" s="176">
        <f>Futtermittel!H162</f>
        <v>880</v>
      </c>
      <c r="G168" s="176">
        <f>Futtermittel!I162</f>
        <v>82.5</v>
      </c>
      <c r="H168" s="176">
        <f>Futtermittel!J162</f>
        <v>57.749999999999993</v>
      </c>
      <c r="I168" s="176">
        <f>Futtermittel!K162</f>
        <v>0</v>
      </c>
      <c r="J168" s="1374">
        <f>Futtermittel!L162</f>
        <v>11.801490800000002</v>
      </c>
      <c r="K168" s="181">
        <f>Futtermittel!N162</f>
        <v>9.68</v>
      </c>
      <c r="L168" s="179">
        <f>Futtermittel!O162</f>
        <v>8.0343999999999998</v>
      </c>
      <c r="M168" s="89"/>
      <c r="N168" s="928">
        <f t="shared" si="2"/>
        <v>17.928634803671969</v>
      </c>
    </row>
    <row r="169" spans="1:31">
      <c r="B169" s="927" t="str">
        <f>Futtermittel!A163</f>
        <v>Sauermolke, milchsauer, frisch 1% RP DLG 2014</v>
      </c>
      <c r="C169" s="176">
        <f>Futtermittel!E163</f>
        <v>1</v>
      </c>
      <c r="D169" s="913" t="str">
        <f>Futtermittel!F163</f>
        <v>DLG 2014</v>
      </c>
      <c r="E169" s="176">
        <f>Futtermittel!G163</f>
        <v>0</v>
      </c>
      <c r="F169" s="176">
        <f>Futtermittel!H163</f>
        <v>64</v>
      </c>
      <c r="G169" s="176">
        <f>Futtermittel!I163</f>
        <v>6</v>
      </c>
      <c r="H169" s="176">
        <f>Futtermittel!J163</f>
        <v>4.1999999999999993</v>
      </c>
      <c r="I169" s="176">
        <f>Futtermittel!K163</f>
        <v>0</v>
      </c>
      <c r="J169" s="1374">
        <f>Futtermittel!L163</f>
        <v>0.85829024000000009</v>
      </c>
      <c r="K169" s="181">
        <f>Futtermittel!N163</f>
        <v>0.70399999999999996</v>
      </c>
      <c r="L169" s="179">
        <f>Futtermittel!O163</f>
        <v>0.58431999999999995</v>
      </c>
      <c r="M169" s="89"/>
      <c r="N169" s="928">
        <f t="shared" si="2"/>
        <v>1.3039007129943245</v>
      </c>
    </row>
    <row r="170" spans="1:31">
      <c r="B170" s="927" t="str">
        <f>Futtermittel!A164</f>
        <v>Trockenschnitzel 8% RP DLG 2014</v>
      </c>
      <c r="C170" s="176">
        <f>Futtermittel!E164</f>
        <v>8</v>
      </c>
      <c r="D170" s="913" t="str">
        <f>Futtermittel!F164</f>
        <v>DLG 2014</v>
      </c>
      <c r="E170" s="176">
        <f>Futtermittel!G164</f>
        <v>0</v>
      </c>
      <c r="F170" s="176">
        <f>Futtermittel!H164</f>
        <v>900</v>
      </c>
      <c r="G170" s="176">
        <f>Futtermittel!I164</f>
        <v>75</v>
      </c>
      <c r="H170" s="176">
        <f>Futtermittel!J164</f>
        <v>30</v>
      </c>
      <c r="I170" s="176">
        <f>Futtermittel!K164</f>
        <v>171</v>
      </c>
      <c r="J170" s="1374">
        <f>Futtermittel!L164</f>
        <v>10.142751000000001</v>
      </c>
      <c r="K170" s="181">
        <f>Futtermittel!N164</f>
        <v>3.9197727272727265</v>
      </c>
      <c r="L170" s="179">
        <f>Futtermittel!O164</f>
        <v>2.1558749999999995</v>
      </c>
      <c r="M170" s="89">
        <v>22</v>
      </c>
      <c r="N170" s="928">
        <f t="shared" si="2"/>
        <v>10.873942051089861</v>
      </c>
    </row>
    <row r="171" spans="1:31">
      <c r="B171" s="927" t="str">
        <f>Futtermittel!A165</f>
        <v xml:space="preserve">eigenes Trockenschnitzel </v>
      </c>
      <c r="C171" s="176" t="str">
        <f>Futtermittel!E165</f>
        <v xml:space="preserve"> </v>
      </c>
      <c r="D171" s="913">
        <f>Futtermittel!F165</f>
        <v>0</v>
      </c>
      <c r="E171" s="176">
        <f>Futtermittel!G165</f>
        <v>0</v>
      </c>
      <c r="F171" s="176">
        <f>Futtermittel!H165</f>
        <v>0</v>
      </c>
      <c r="G171" s="176">
        <f>Futtermittel!I165</f>
        <v>0</v>
      </c>
      <c r="H171" s="176" t="str">
        <f>Futtermittel!J165</f>
        <v xml:space="preserve"> </v>
      </c>
      <c r="I171" s="176">
        <f>Futtermittel!K165</f>
        <v>0</v>
      </c>
      <c r="J171" s="1374" t="str">
        <f>Futtermittel!L165</f>
        <v xml:space="preserve"> </v>
      </c>
      <c r="K171" s="181" t="str">
        <f>Futtermittel!N165</f>
        <v xml:space="preserve"> </v>
      </c>
      <c r="L171" s="179" t="str">
        <f>Futtermittel!O165</f>
        <v xml:space="preserve"> </v>
      </c>
      <c r="M171" s="89">
        <v>22</v>
      </c>
      <c r="N171" s="928" t="str">
        <f t="shared" si="2"/>
        <v xml:space="preserve"> </v>
      </c>
    </row>
    <row r="172" spans="1:31" hidden="1">
      <c r="B172" s="927" t="str">
        <f>Futtermittel!A166</f>
        <v xml:space="preserve">Wasser </v>
      </c>
      <c r="C172" s="176" t="str">
        <f>Futtermittel!E166</f>
        <v xml:space="preserve"> </v>
      </c>
      <c r="D172" s="913">
        <f>Futtermittel!F166</f>
        <v>0</v>
      </c>
      <c r="E172" s="176">
        <f>Futtermittel!G166</f>
        <v>0</v>
      </c>
      <c r="F172" s="176">
        <f>Futtermittel!H166</f>
        <v>0</v>
      </c>
      <c r="G172" s="176">
        <f>Futtermittel!I166</f>
        <v>0</v>
      </c>
      <c r="H172" s="176">
        <f>Futtermittel!J166</f>
        <v>0</v>
      </c>
      <c r="I172" s="176">
        <f>Futtermittel!K166</f>
        <v>0</v>
      </c>
      <c r="J172" s="1374">
        <f>Futtermittel!L166</f>
        <v>0</v>
      </c>
      <c r="K172" s="181">
        <f>Futtermittel!N166</f>
        <v>0</v>
      </c>
      <c r="L172" s="179">
        <f>Futtermittel!O166</f>
        <v>0</v>
      </c>
      <c r="M172" s="89"/>
      <c r="N172" s="928" t="e">
        <f t="shared" si="2"/>
        <v>#DIV/0!</v>
      </c>
    </row>
    <row r="173" spans="1:31">
      <c r="B173" s="927" t="str">
        <f>Futtermittel!A167</f>
        <v>Weizenkleie 14% RP DLG 2014</v>
      </c>
      <c r="C173" s="176">
        <f>Futtermittel!E167</f>
        <v>14</v>
      </c>
      <c r="D173" s="913" t="str">
        <f>Futtermittel!F167</f>
        <v>DLG 2014</v>
      </c>
      <c r="E173" s="176">
        <f>Futtermittel!G167</f>
        <v>0</v>
      </c>
      <c r="F173" s="176">
        <f>Futtermittel!H167</f>
        <v>880</v>
      </c>
      <c r="G173" s="176">
        <f>Futtermittel!I167</f>
        <v>141</v>
      </c>
      <c r="H173" s="176">
        <f>Futtermittel!J167</f>
        <v>109.98</v>
      </c>
      <c r="I173" s="176">
        <f>Futtermittel!K167</f>
        <v>114</v>
      </c>
      <c r="J173" s="1374">
        <f>Futtermittel!L167</f>
        <v>8.8198340000000002</v>
      </c>
      <c r="K173" s="181">
        <f>Futtermittel!N167</f>
        <v>5.6892999999999994</v>
      </c>
      <c r="L173" s="179">
        <f>Futtermittel!O167</f>
        <v>4.0394029999999992</v>
      </c>
      <c r="M173" s="89">
        <v>23</v>
      </c>
      <c r="N173" s="928">
        <f>IF(J173=" "," ",M$16*(J173*(L$17*J173-J$17*L173)/((J$16*(L$17*J173-J$17*L173))+(J$17*(J$16*L173-L$16*J173))))+M$17*((J173*(L$17*J173-J$17*L173)/((J$16*(L$17*J173-J$17*L173))+(J$17*(J$16*L173-L$16*J173))))*((J$16*L173-L$16*J173)/(L$17*J173-J$17*1.00000000000001*L173))))</f>
        <v>11.522604672607457</v>
      </c>
    </row>
    <row r="174" spans="1:31">
      <c r="B174" s="927" t="str">
        <f>Futtermittel!A168</f>
        <v xml:space="preserve">eigene Weizenkleie </v>
      </c>
      <c r="C174" s="176" t="str">
        <f>Futtermittel!E168</f>
        <v xml:space="preserve"> </v>
      </c>
      <c r="D174" s="913">
        <f>Futtermittel!F168</f>
        <v>0</v>
      </c>
      <c r="E174" s="176">
        <f>Futtermittel!G168</f>
        <v>0</v>
      </c>
      <c r="F174" s="176">
        <f>Futtermittel!H168</f>
        <v>0</v>
      </c>
      <c r="G174" s="176">
        <f>Futtermittel!I168</f>
        <v>0</v>
      </c>
      <c r="H174" s="176" t="str">
        <f>Futtermittel!J168</f>
        <v xml:space="preserve"> </v>
      </c>
      <c r="I174" s="176">
        <f>Futtermittel!K168</f>
        <v>0</v>
      </c>
      <c r="J174" s="1374" t="str">
        <f>Futtermittel!L168</f>
        <v xml:space="preserve"> </v>
      </c>
      <c r="K174" s="181" t="str">
        <f>Futtermittel!N168</f>
        <v xml:space="preserve"> </v>
      </c>
      <c r="L174" s="179" t="str">
        <f>Futtermittel!O168</f>
        <v xml:space="preserve"> </v>
      </c>
      <c r="M174" s="89"/>
      <c r="N174" s="928" t="str">
        <f>IF(J174=" "," ",M$16*(J174*(L$17*J174-J$17*L174)/((J$16*(L$17*J174-J$17*L174))+(J$17*(J$16*L174-L$16*J174))))+M$17*((J174*(L$17*J174-J$17*L174)/((J$16*(L$17*J174-J$17*L174))+(J$17*(J$16*L174-L$16*J174))))*((J$16*L174-L$16*J174)/(L$17*J174-J$17*1.00000000000001*L174))))</f>
        <v xml:space="preserve"> </v>
      </c>
    </row>
    <row r="175" spans="1:31">
      <c r="B175" s="927" t="str">
        <f>Futtermittel!A169</f>
        <v xml:space="preserve">hier neues Futtermittel eingeben % RP </v>
      </c>
      <c r="C175" s="176" t="str">
        <f>Futtermittel!E169</f>
        <v/>
      </c>
      <c r="D175" s="913">
        <f>Futtermittel!F169</f>
        <v>0</v>
      </c>
      <c r="E175" s="176">
        <f>Futtermittel!G169</f>
        <v>0</v>
      </c>
      <c r="F175" s="176">
        <f>Futtermittel!H169</f>
        <v>0</v>
      </c>
      <c r="G175" s="176">
        <f>Futtermittel!I169</f>
        <v>0</v>
      </c>
      <c r="H175" s="176">
        <f>Futtermittel!J169</f>
        <v>0</v>
      </c>
      <c r="I175" s="176">
        <f>Futtermittel!K169</f>
        <v>0</v>
      </c>
      <c r="J175" s="1374" t="str">
        <f>Futtermittel!L169</f>
        <v xml:space="preserve"> </v>
      </c>
      <c r="K175" s="181">
        <f>Futtermittel!N169</f>
        <v>0</v>
      </c>
      <c r="L175" s="179">
        <f>Futtermittel!O169</f>
        <v>0</v>
      </c>
      <c r="M175" s="89"/>
      <c r="N175" s="928" t="str">
        <f>IF(J175=" "," ",M$16*(J175*(L$17*J175-J$17*L175)/((J$16*(L$17*J175-J$17*L175))+(J$17*(J$16*L175-L$16*J175))))+M$17*((J175*(L$17*J175-J$17*L175)/((J$16*(L$17*J175-J$17*L175))+(J$17*(J$16*L175-L$16*J175))))*((J$16*L175-L$16*J175)/(L$17*J175-J$17*1.00000000000001*L175))))</f>
        <v xml:space="preserve"> </v>
      </c>
    </row>
    <row r="176" spans="1:31" ht="13" thickBot="1">
      <c r="B176" s="929"/>
      <c r="C176" s="1104"/>
      <c r="D176" s="1103"/>
      <c r="E176" s="1104"/>
      <c r="F176" s="1104"/>
      <c r="G176" s="1104"/>
      <c r="H176" s="1104"/>
      <c r="I176" s="1104"/>
      <c r="J176" s="1376"/>
      <c r="K176" s="1102"/>
      <c r="L176" s="1105"/>
      <c r="M176" s="1106"/>
      <c r="N176" s="1107"/>
    </row>
    <row r="177" spans="2:14">
      <c r="B177" s="278" t="s">
        <v>78</v>
      </c>
      <c r="C177" s="1380"/>
      <c r="D177" s="14"/>
      <c r="E177" s="14"/>
      <c r="F177" s="14"/>
      <c r="G177" s="14"/>
      <c r="H177" s="14"/>
      <c r="I177" s="14"/>
      <c r="J177" s="1367"/>
      <c r="K177" s="14"/>
      <c r="L177" s="17"/>
      <c r="M177" s="182"/>
      <c r="N177" s="60"/>
    </row>
    <row r="178" spans="2:14">
      <c r="B178" s="279" t="s">
        <v>699</v>
      </c>
      <c r="C178" s="1380"/>
      <c r="D178" s="14"/>
      <c r="E178" s="14"/>
      <c r="F178" s="14"/>
      <c r="G178" s="14"/>
      <c r="H178" s="14"/>
      <c r="I178" s="14"/>
      <c r="J178" s="1367"/>
      <c r="K178" s="14"/>
      <c r="L178" s="17"/>
      <c r="M178" s="182"/>
      <c r="N178" s="60"/>
    </row>
    <row r="179" spans="2:14">
      <c r="B179" s="14"/>
      <c r="C179" s="1380"/>
      <c r="D179" s="14"/>
      <c r="E179" s="14"/>
      <c r="F179" s="14"/>
      <c r="G179" s="14"/>
      <c r="H179" s="14"/>
      <c r="I179" s="14"/>
      <c r="J179" s="1367"/>
      <c r="K179" s="14"/>
      <c r="L179" s="17"/>
      <c r="M179" s="182"/>
      <c r="N179" s="60"/>
    </row>
    <row r="180" spans="2:14">
      <c r="B180" s="14"/>
      <c r="C180" s="1380"/>
      <c r="D180" s="14"/>
      <c r="E180" s="14"/>
      <c r="F180" s="14"/>
      <c r="G180" s="14"/>
      <c r="H180" s="14"/>
      <c r="I180" s="14"/>
      <c r="J180" s="1367"/>
      <c r="K180" s="14"/>
      <c r="L180" s="17"/>
      <c r="M180" s="182"/>
      <c r="N180" s="60"/>
    </row>
    <row r="181" spans="2:14">
      <c r="B181" s="14"/>
      <c r="C181" s="1380"/>
      <c r="D181" s="14"/>
      <c r="E181" s="14"/>
      <c r="F181" s="14"/>
      <c r="G181" s="14"/>
      <c r="H181" s="14"/>
      <c r="I181" s="14"/>
      <c r="J181" s="1367"/>
      <c r="K181" s="14"/>
      <c r="L181" s="17"/>
      <c r="M181" s="182"/>
      <c r="N181" s="60"/>
    </row>
    <row r="182" spans="2:14">
      <c r="B182" s="14"/>
      <c r="C182" s="1380"/>
      <c r="D182" s="14"/>
      <c r="E182" s="14"/>
      <c r="F182" s="14"/>
      <c r="G182" s="14"/>
      <c r="H182" s="14"/>
      <c r="I182" s="14"/>
      <c r="J182" s="1367"/>
      <c r="K182" s="14"/>
      <c r="L182" s="17"/>
      <c r="M182" s="88"/>
      <c r="N182" s="60"/>
    </row>
    <row r="183" spans="2:14">
      <c r="B183" s="14"/>
      <c r="C183" s="1380"/>
      <c r="D183" s="14"/>
      <c r="E183" s="14"/>
      <c r="F183" s="14"/>
      <c r="G183" s="14"/>
      <c r="H183" s="14"/>
      <c r="I183" s="14"/>
      <c r="J183" s="1367"/>
      <c r="K183" s="14"/>
      <c r="L183" s="17"/>
      <c r="M183" s="88"/>
      <c r="N183" s="60"/>
    </row>
    <row r="184" spans="2:14">
      <c r="B184" s="14"/>
      <c r="C184" s="1380"/>
      <c r="D184" s="14"/>
      <c r="E184" s="14"/>
      <c r="F184" s="14"/>
      <c r="G184" s="14"/>
      <c r="H184" s="14"/>
      <c r="I184" s="14"/>
      <c r="J184" s="1367"/>
      <c r="K184" s="14"/>
      <c r="L184" s="17"/>
      <c r="M184" s="88"/>
      <c r="N184" s="60"/>
    </row>
    <row r="185" spans="2:14">
      <c r="B185" s="14"/>
      <c r="C185" s="1380"/>
      <c r="D185" s="14"/>
      <c r="E185" s="14"/>
      <c r="F185" s="14"/>
      <c r="G185" s="14"/>
      <c r="H185" s="14"/>
      <c r="I185" s="14"/>
      <c r="J185" s="1367"/>
      <c r="K185" s="14"/>
      <c r="L185" s="17"/>
      <c r="M185" s="88"/>
      <c r="N185" s="60"/>
    </row>
    <row r="186" spans="2:14">
      <c r="B186" s="14"/>
      <c r="C186" s="1380"/>
      <c r="D186" s="14"/>
      <c r="E186" s="14"/>
      <c r="F186" s="14"/>
      <c r="G186" s="14"/>
      <c r="H186" s="14"/>
      <c r="I186" s="14"/>
      <c r="J186" s="1367"/>
      <c r="K186" s="14"/>
      <c r="L186" s="17"/>
      <c r="M186" s="88"/>
      <c r="N186" s="60"/>
    </row>
    <row r="187" spans="2:14">
      <c r="B187" s="14"/>
      <c r="C187" s="1380"/>
      <c r="D187" s="14"/>
      <c r="E187" s="14"/>
      <c r="F187" s="14"/>
      <c r="G187" s="14"/>
      <c r="H187" s="14"/>
      <c r="I187" s="14"/>
      <c r="J187" s="1367"/>
      <c r="K187" s="14"/>
      <c r="L187" s="17"/>
      <c r="M187" s="88"/>
      <c r="N187" s="60"/>
    </row>
    <row r="188" spans="2:14">
      <c r="B188" s="14"/>
      <c r="C188" s="1380"/>
      <c r="D188" s="14"/>
      <c r="E188" s="14"/>
      <c r="F188" s="14"/>
      <c r="G188" s="14"/>
      <c r="H188" s="14"/>
      <c r="I188" s="14"/>
      <c r="J188" s="1367"/>
      <c r="K188" s="14"/>
      <c r="L188" s="17"/>
      <c r="M188" s="88"/>
      <c r="N188" s="60"/>
    </row>
    <row r="189" spans="2:14">
      <c r="B189" s="14"/>
      <c r="C189" s="1380"/>
      <c r="D189" s="14"/>
      <c r="E189" s="14"/>
      <c r="F189" s="14"/>
      <c r="G189" s="14"/>
      <c r="H189" s="14"/>
      <c r="I189" s="14"/>
      <c r="J189" s="1367"/>
      <c r="K189" s="14"/>
      <c r="L189" s="17"/>
      <c r="M189" s="88"/>
      <c r="N189" s="60"/>
    </row>
    <row r="190" spans="2:14">
      <c r="B190" s="14"/>
      <c r="C190" s="1380"/>
      <c r="D190" s="14"/>
      <c r="E190" s="14"/>
      <c r="F190" s="14"/>
      <c r="G190" s="14"/>
      <c r="H190" s="14"/>
      <c r="I190" s="14"/>
      <c r="J190" s="1367"/>
      <c r="K190" s="14"/>
      <c r="L190" s="17"/>
      <c r="M190" s="88"/>
      <c r="N190" s="60"/>
    </row>
    <row r="191" spans="2:14">
      <c r="B191" s="14"/>
      <c r="C191" s="1380"/>
      <c r="D191" s="14"/>
      <c r="E191" s="14"/>
      <c r="F191" s="14"/>
      <c r="G191" s="14"/>
      <c r="H191" s="14"/>
      <c r="I191" s="14"/>
      <c r="J191" s="1367"/>
      <c r="K191" s="14"/>
      <c r="L191" s="17"/>
      <c r="M191" s="88"/>
      <c r="N191" s="60"/>
    </row>
    <row r="192" spans="2:14">
      <c r="B192" s="14"/>
      <c r="C192" s="1380"/>
      <c r="D192" s="14"/>
      <c r="E192" s="14"/>
      <c r="F192" s="14"/>
      <c r="G192" s="14"/>
      <c r="H192" s="14"/>
      <c r="I192" s="14"/>
      <c r="J192" s="1367"/>
      <c r="K192" s="14"/>
      <c r="L192" s="17"/>
      <c r="M192" s="88"/>
      <c r="N192" s="60"/>
    </row>
    <row r="193" spans="2:14">
      <c r="B193" s="14"/>
      <c r="C193" s="1380"/>
      <c r="D193" s="14"/>
      <c r="E193" s="14"/>
      <c r="F193" s="14"/>
      <c r="G193" s="14"/>
      <c r="H193" s="14"/>
      <c r="I193" s="14"/>
      <c r="J193" s="1367"/>
      <c r="K193" s="14"/>
      <c r="L193" s="17"/>
      <c r="M193" s="88"/>
      <c r="N193" s="60"/>
    </row>
    <row r="194" spans="2:14">
      <c r="B194" s="14"/>
      <c r="C194" s="1380"/>
      <c r="D194" s="14"/>
      <c r="E194" s="14"/>
      <c r="F194" s="14"/>
      <c r="G194" s="14"/>
      <c r="H194" s="14"/>
      <c r="I194" s="14"/>
      <c r="J194" s="1367"/>
      <c r="K194" s="14"/>
      <c r="L194" s="17"/>
      <c r="M194" s="88"/>
      <c r="N194" s="60"/>
    </row>
    <row r="195" spans="2:14">
      <c r="B195" s="14"/>
      <c r="C195" s="1380"/>
      <c r="D195" s="14"/>
      <c r="E195" s="14"/>
      <c r="F195" s="14"/>
      <c r="G195" s="14"/>
      <c r="H195" s="14"/>
      <c r="I195" s="14"/>
      <c r="J195" s="1367"/>
      <c r="K195" s="14"/>
      <c r="L195" s="17"/>
      <c r="M195" s="88"/>
      <c r="N195" s="60"/>
    </row>
    <row r="196" spans="2:14">
      <c r="B196" s="14"/>
      <c r="C196" s="1380"/>
      <c r="D196" s="14"/>
      <c r="E196" s="14"/>
      <c r="F196" s="14"/>
      <c r="G196" s="14"/>
      <c r="H196" s="14"/>
      <c r="I196" s="14"/>
      <c r="J196" s="1367"/>
      <c r="K196" s="14"/>
      <c r="L196" s="17"/>
      <c r="M196" s="88"/>
      <c r="N196" s="60"/>
    </row>
    <row r="197" spans="2:14">
      <c r="B197" s="14"/>
      <c r="C197" s="1380"/>
      <c r="D197" s="14"/>
      <c r="E197" s="14"/>
      <c r="F197" s="14"/>
      <c r="G197" s="14"/>
      <c r="H197" s="14"/>
      <c r="I197" s="14"/>
      <c r="J197" s="1367"/>
      <c r="K197" s="14"/>
      <c r="L197" s="17"/>
      <c r="M197" s="88"/>
      <c r="N197" s="60"/>
    </row>
    <row r="198" spans="2:14">
      <c r="B198" s="14"/>
      <c r="C198" s="1380"/>
      <c r="D198" s="14"/>
      <c r="E198" s="14"/>
      <c r="F198" s="14"/>
      <c r="G198" s="14"/>
      <c r="H198" s="14"/>
      <c r="I198" s="14"/>
      <c r="J198" s="1367"/>
      <c r="K198" s="14"/>
      <c r="L198" s="17"/>
      <c r="M198" s="88"/>
      <c r="N198" s="60"/>
    </row>
    <row r="199" spans="2:14">
      <c r="B199" s="14"/>
      <c r="C199" s="1380"/>
      <c r="D199" s="14"/>
      <c r="E199" s="14"/>
      <c r="F199" s="14"/>
      <c r="G199" s="14"/>
      <c r="H199" s="14"/>
      <c r="I199" s="14"/>
      <c r="J199" s="1367"/>
      <c r="K199" s="14"/>
      <c r="L199" s="17"/>
      <c r="M199" s="88"/>
      <c r="N199" s="60"/>
    </row>
    <row r="200" spans="2:14">
      <c r="B200" s="14"/>
      <c r="C200" s="1380"/>
      <c r="D200" s="14"/>
      <c r="E200" s="14"/>
      <c r="F200" s="14"/>
      <c r="G200" s="14"/>
      <c r="H200" s="14"/>
      <c r="I200" s="14"/>
      <c r="J200" s="1367"/>
      <c r="K200" s="14"/>
      <c r="L200" s="17"/>
      <c r="M200" s="88"/>
      <c r="N200" s="60"/>
    </row>
    <row r="201" spans="2:14">
      <c r="B201" s="14"/>
      <c r="C201" s="1380"/>
      <c r="D201" s="14"/>
      <c r="E201" s="14"/>
      <c r="F201" s="14"/>
      <c r="G201" s="14"/>
      <c r="H201" s="14"/>
      <c r="I201" s="14"/>
      <c r="J201" s="1367"/>
      <c r="K201" s="14"/>
      <c r="L201" s="17"/>
      <c r="M201" s="88"/>
      <c r="N201" s="60"/>
    </row>
    <row r="202" spans="2:14">
      <c r="B202" s="14"/>
      <c r="C202" s="1380"/>
      <c r="D202" s="14"/>
      <c r="E202" s="14"/>
      <c r="F202" s="14"/>
      <c r="G202" s="14"/>
      <c r="H202" s="14"/>
      <c r="I202" s="14"/>
      <c r="J202" s="1367"/>
      <c r="K202" s="14"/>
      <c r="L202" s="17"/>
      <c r="M202" s="88"/>
      <c r="N202" s="60"/>
    </row>
    <row r="203" spans="2:14">
      <c r="B203" s="14"/>
      <c r="C203" s="1380"/>
      <c r="D203" s="14"/>
      <c r="E203" s="14"/>
      <c r="F203" s="14"/>
      <c r="G203" s="14"/>
      <c r="H203" s="14"/>
      <c r="I203" s="14"/>
      <c r="J203" s="1367"/>
      <c r="K203" s="14"/>
      <c r="L203" s="17"/>
      <c r="M203" s="88"/>
      <c r="N203" s="60"/>
    </row>
    <row r="204" spans="2:14">
      <c r="B204" s="14"/>
      <c r="C204" s="1380"/>
      <c r="D204" s="14"/>
      <c r="E204" s="14"/>
      <c r="F204" s="14"/>
      <c r="G204" s="14"/>
      <c r="H204" s="14"/>
      <c r="I204" s="14"/>
      <c r="J204" s="1367"/>
      <c r="K204" s="14"/>
      <c r="L204" s="17"/>
      <c r="M204" s="88"/>
      <c r="N204" s="60"/>
    </row>
    <row r="205" spans="2:14">
      <c r="B205" s="14"/>
      <c r="C205" s="1380"/>
      <c r="D205" s="14"/>
      <c r="E205" s="14"/>
      <c r="F205" s="14"/>
      <c r="G205" s="14"/>
      <c r="H205" s="14"/>
      <c r="I205" s="14"/>
      <c r="J205" s="1367"/>
      <c r="K205" s="14"/>
      <c r="L205" s="17"/>
      <c r="M205" s="88"/>
      <c r="N205" s="60"/>
    </row>
    <row r="206" spans="2:14">
      <c r="B206" s="14"/>
      <c r="C206" s="1380"/>
      <c r="D206" s="14"/>
      <c r="E206" s="14"/>
      <c r="F206" s="14"/>
      <c r="G206" s="14"/>
      <c r="H206" s="14"/>
      <c r="I206" s="14"/>
      <c r="J206" s="1367"/>
      <c r="K206" s="14"/>
      <c r="L206" s="17"/>
      <c r="M206" s="88"/>
      <c r="N206" s="60"/>
    </row>
    <row r="207" spans="2:14">
      <c r="B207" s="14"/>
      <c r="C207" s="1380"/>
      <c r="D207" s="14"/>
      <c r="E207" s="14"/>
      <c r="F207" s="14"/>
      <c r="G207" s="14"/>
      <c r="H207" s="14"/>
      <c r="I207" s="14"/>
      <c r="J207" s="1367"/>
      <c r="K207" s="14"/>
      <c r="L207" s="17"/>
      <c r="M207" s="88"/>
      <c r="N207" s="60"/>
    </row>
    <row r="208" spans="2:14">
      <c r="B208" s="14"/>
      <c r="C208" s="1380"/>
      <c r="D208" s="14"/>
      <c r="E208" s="14"/>
      <c r="F208" s="14"/>
      <c r="G208" s="14"/>
      <c r="H208" s="14"/>
      <c r="I208" s="14"/>
      <c r="J208" s="1367"/>
      <c r="K208" s="14"/>
      <c r="L208" s="17"/>
      <c r="M208" s="88"/>
      <c r="N208" s="60"/>
    </row>
    <row r="209" spans="2:14">
      <c r="B209" s="14"/>
      <c r="C209" s="1380"/>
      <c r="D209" s="14"/>
      <c r="E209" s="14"/>
      <c r="F209" s="14"/>
      <c r="G209" s="14"/>
      <c r="H209" s="14"/>
      <c r="I209" s="14"/>
      <c r="J209" s="1367"/>
      <c r="K209" s="14"/>
      <c r="L209" s="17"/>
      <c r="M209" s="88"/>
      <c r="N209" s="60"/>
    </row>
    <row r="210" spans="2:14">
      <c r="B210" s="14"/>
      <c r="C210" s="1380"/>
      <c r="D210" s="14"/>
      <c r="E210" s="14"/>
      <c r="F210" s="14"/>
      <c r="G210" s="14"/>
      <c r="H210" s="14"/>
      <c r="I210" s="14"/>
      <c r="J210" s="1367"/>
      <c r="K210" s="14"/>
      <c r="L210" s="17"/>
      <c r="M210" s="88"/>
      <c r="N210" s="60"/>
    </row>
    <row r="211" spans="2:14">
      <c r="B211" s="14"/>
      <c r="C211" s="1380"/>
      <c r="D211" s="14"/>
      <c r="E211" s="14"/>
      <c r="F211" s="14"/>
      <c r="G211" s="14"/>
      <c r="H211" s="14"/>
      <c r="I211" s="14"/>
      <c r="J211" s="1367"/>
      <c r="K211" s="14"/>
      <c r="L211" s="17"/>
      <c r="M211" s="88"/>
      <c r="N211" s="60"/>
    </row>
    <row r="212" spans="2:14">
      <c r="B212" s="14"/>
      <c r="C212" s="1380"/>
      <c r="D212" s="14"/>
      <c r="E212" s="14"/>
      <c r="F212" s="14"/>
      <c r="G212" s="14"/>
      <c r="H212" s="14"/>
      <c r="I212" s="14"/>
      <c r="J212" s="1367"/>
      <c r="K212" s="14"/>
      <c r="L212" s="17"/>
      <c r="M212" s="88"/>
      <c r="N212" s="60"/>
    </row>
    <row r="213" spans="2:14">
      <c r="B213" s="14"/>
      <c r="C213" s="1380"/>
      <c r="D213" s="14"/>
      <c r="E213" s="14"/>
      <c r="F213" s="14"/>
      <c r="G213" s="14"/>
      <c r="H213" s="14"/>
      <c r="I213" s="14"/>
      <c r="J213" s="1367"/>
      <c r="K213" s="14"/>
      <c r="L213" s="17"/>
      <c r="M213" s="88"/>
      <c r="N213" s="60"/>
    </row>
    <row r="214" spans="2:14">
      <c r="B214" s="14"/>
      <c r="C214" s="1380"/>
      <c r="D214" s="14"/>
      <c r="E214" s="14"/>
      <c r="F214" s="14"/>
      <c r="G214" s="14"/>
      <c r="H214" s="14"/>
      <c r="I214" s="14"/>
      <c r="J214" s="1367"/>
      <c r="K214" s="14"/>
      <c r="L214" s="17"/>
      <c r="M214" s="88"/>
      <c r="N214" s="60"/>
    </row>
    <row r="215" spans="2:14">
      <c r="B215" s="14"/>
      <c r="C215" s="1380"/>
      <c r="D215" s="14"/>
      <c r="E215" s="14"/>
      <c r="F215" s="14"/>
      <c r="G215" s="14"/>
      <c r="H215" s="14"/>
      <c r="I215" s="14"/>
      <c r="J215" s="1367"/>
      <c r="K215" s="14"/>
      <c r="L215" s="17"/>
      <c r="M215" s="88"/>
      <c r="N215" s="60"/>
    </row>
    <row r="216" spans="2:14">
      <c r="B216" s="14"/>
      <c r="C216" s="1380"/>
      <c r="D216" s="14"/>
      <c r="E216" s="14"/>
      <c r="F216" s="14"/>
      <c r="G216" s="14"/>
      <c r="H216" s="14"/>
      <c r="I216" s="14"/>
      <c r="J216" s="1367"/>
      <c r="K216" s="14"/>
      <c r="L216" s="17"/>
      <c r="M216" s="88"/>
      <c r="N216" s="60"/>
    </row>
    <row r="217" spans="2:14">
      <c r="B217" s="14"/>
      <c r="C217" s="1380"/>
      <c r="D217" s="14"/>
      <c r="E217" s="14"/>
      <c r="F217" s="14"/>
      <c r="G217" s="14"/>
      <c r="H217" s="14"/>
      <c r="I217" s="14"/>
      <c r="J217" s="1367"/>
      <c r="K217" s="14"/>
      <c r="L217" s="17"/>
      <c r="M217" s="88"/>
      <c r="N217" s="60"/>
    </row>
    <row r="218" spans="2:14">
      <c r="B218" s="14"/>
      <c r="C218" s="1380"/>
      <c r="D218" s="14"/>
      <c r="E218" s="14"/>
      <c r="F218" s="14"/>
      <c r="G218" s="14"/>
      <c r="H218" s="14"/>
      <c r="I218" s="14"/>
      <c r="J218" s="1367"/>
      <c r="K218" s="14"/>
      <c r="L218" s="17"/>
      <c r="M218" s="88"/>
      <c r="N218" s="60"/>
    </row>
    <row r="219" spans="2:14">
      <c r="B219" s="14"/>
      <c r="C219" s="1380"/>
      <c r="D219" s="14"/>
      <c r="E219" s="14"/>
      <c r="F219" s="14"/>
      <c r="G219" s="14"/>
      <c r="H219" s="14"/>
      <c r="I219" s="14"/>
      <c r="J219" s="1367"/>
      <c r="K219" s="14"/>
      <c r="L219" s="17"/>
      <c r="M219" s="88"/>
      <c r="N219" s="60"/>
    </row>
    <row r="220" spans="2:14">
      <c r="B220" s="14"/>
      <c r="C220" s="1380"/>
      <c r="D220" s="14"/>
      <c r="E220" s="14"/>
      <c r="F220" s="14"/>
      <c r="G220" s="14"/>
      <c r="H220" s="14"/>
      <c r="I220" s="14"/>
      <c r="J220" s="1367"/>
      <c r="K220" s="14"/>
      <c r="L220" s="17"/>
      <c r="M220" s="88"/>
      <c r="N220" s="60"/>
    </row>
    <row r="221" spans="2:14">
      <c r="B221" s="14"/>
      <c r="C221" s="1380"/>
      <c r="D221" s="14"/>
      <c r="E221" s="14"/>
      <c r="F221" s="14"/>
      <c r="G221" s="14"/>
      <c r="H221" s="14"/>
      <c r="I221" s="14"/>
      <c r="J221" s="1367"/>
      <c r="K221" s="14"/>
      <c r="L221" s="17"/>
      <c r="M221" s="88"/>
      <c r="N221" s="60"/>
    </row>
    <row r="222" spans="2:14">
      <c r="B222" s="14"/>
      <c r="C222" s="1380"/>
      <c r="D222" s="14"/>
      <c r="E222" s="14"/>
      <c r="F222" s="14"/>
      <c r="G222" s="14"/>
      <c r="H222" s="14"/>
      <c r="I222" s="14"/>
      <c r="J222" s="1367"/>
      <c r="K222" s="14"/>
      <c r="L222" s="17"/>
      <c r="M222" s="88"/>
      <c r="N222" s="60"/>
    </row>
    <row r="223" spans="2:14">
      <c r="B223" s="14"/>
      <c r="C223" s="1380"/>
      <c r="D223" s="14"/>
      <c r="E223" s="14"/>
      <c r="F223" s="14"/>
      <c r="G223" s="14"/>
      <c r="H223" s="14"/>
      <c r="I223" s="14"/>
      <c r="J223" s="1367"/>
      <c r="K223" s="14"/>
      <c r="L223" s="17"/>
      <c r="M223" s="88"/>
      <c r="N223" s="60"/>
    </row>
    <row r="224" spans="2:14">
      <c r="B224" s="14"/>
      <c r="C224" s="1380"/>
      <c r="D224" s="14"/>
      <c r="E224" s="14"/>
      <c r="F224" s="14"/>
      <c r="G224" s="14"/>
      <c r="H224" s="14"/>
      <c r="I224" s="14"/>
      <c r="J224" s="1367"/>
      <c r="K224" s="14"/>
      <c r="L224" s="17"/>
      <c r="M224" s="88"/>
      <c r="N224" s="60"/>
    </row>
    <row r="225" spans="2:14">
      <c r="B225" s="14"/>
      <c r="C225" s="1380"/>
      <c r="D225" s="14"/>
      <c r="E225" s="14"/>
      <c r="F225" s="14"/>
      <c r="G225" s="14"/>
      <c r="H225" s="14"/>
      <c r="I225" s="14"/>
      <c r="J225" s="1367"/>
      <c r="K225" s="14"/>
      <c r="L225" s="17"/>
      <c r="M225" s="88"/>
      <c r="N225" s="60"/>
    </row>
    <row r="226" spans="2:14">
      <c r="B226" s="14"/>
      <c r="C226" s="1380"/>
      <c r="D226" s="14"/>
      <c r="E226" s="14"/>
      <c r="F226" s="14"/>
      <c r="G226" s="14"/>
      <c r="H226" s="14"/>
      <c r="I226" s="14"/>
      <c r="J226" s="1367"/>
      <c r="K226" s="14"/>
      <c r="L226" s="17"/>
      <c r="M226" s="88"/>
      <c r="N226" s="60"/>
    </row>
    <row r="227" spans="2:14">
      <c r="B227" s="14"/>
      <c r="C227" s="1380"/>
      <c r="D227" s="14"/>
      <c r="E227" s="14"/>
      <c r="F227" s="14"/>
      <c r="G227" s="14"/>
      <c r="H227" s="14"/>
      <c r="I227" s="14"/>
      <c r="J227" s="1367"/>
      <c r="K227" s="14"/>
      <c r="L227" s="17"/>
      <c r="M227" s="88"/>
      <c r="N227" s="60"/>
    </row>
    <row r="228" spans="2:14">
      <c r="B228" s="14"/>
      <c r="C228" s="1380"/>
      <c r="D228" s="14"/>
      <c r="E228" s="14"/>
      <c r="F228" s="14"/>
      <c r="G228" s="14"/>
      <c r="H228" s="14"/>
      <c r="I228" s="14"/>
      <c r="J228" s="1367"/>
      <c r="K228" s="14"/>
      <c r="L228" s="17"/>
      <c r="M228" s="88"/>
      <c r="N228" s="60"/>
    </row>
    <row r="229" spans="2:14">
      <c r="B229" s="14"/>
      <c r="C229" s="1380"/>
      <c r="D229" s="14"/>
      <c r="E229" s="14"/>
      <c r="F229" s="14"/>
      <c r="G229" s="14"/>
      <c r="H229" s="14"/>
      <c r="I229" s="14"/>
      <c r="J229" s="1367"/>
      <c r="K229" s="14"/>
      <c r="L229" s="17"/>
      <c r="M229" s="88"/>
      <c r="N229" s="60"/>
    </row>
    <row r="230" spans="2:14">
      <c r="B230" s="14"/>
      <c r="C230" s="1380"/>
      <c r="D230" s="14"/>
      <c r="E230" s="14"/>
      <c r="F230" s="14"/>
      <c r="G230" s="14"/>
      <c r="H230" s="14"/>
      <c r="I230" s="14"/>
      <c r="J230" s="1367"/>
      <c r="K230" s="14"/>
      <c r="L230" s="17"/>
      <c r="M230" s="88"/>
      <c r="N230" s="60"/>
    </row>
    <row r="231" spans="2:14">
      <c r="B231" s="14"/>
      <c r="C231" s="1380"/>
      <c r="D231" s="14"/>
      <c r="E231" s="14"/>
      <c r="F231" s="14"/>
      <c r="G231" s="14"/>
      <c r="H231" s="14"/>
      <c r="I231" s="14"/>
      <c r="J231" s="1367"/>
      <c r="K231" s="14"/>
      <c r="L231" s="17"/>
      <c r="M231" s="88"/>
      <c r="N231" s="60"/>
    </row>
    <row r="232" spans="2:14">
      <c r="B232" s="14"/>
      <c r="C232" s="1380"/>
      <c r="D232" s="14"/>
      <c r="E232" s="14"/>
      <c r="F232" s="14"/>
      <c r="G232" s="14"/>
      <c r="H232" s="14"/>
      <c r="I232" s="14"/>
      <c r="J232" s="1367"/>
      <c r="K232" s="14"/>
      <c r="L232" s="17"/>
      <c r="M232" s="88"/>
      <c r="N232" s="60"/>
    </row>
    <row r="233" spans="2:14">
      <c r="B233" s="14"/>
      <c r="C233" s="1380"/>
      <c r="D233" s="14"/>
      <c r="E233" s="14"/>
      <c r="F233" s="14"/>
      <c r="G233" s="14"/>
      <c r="H233" s="14"/>
      <c r="I233" s="14"/>
      <c r="J233" s="1367"/>
      <c r="K233" s="14"/>
      <c r="L233" s="17"/>
      <c r="M233" s="88"/>
      <c r="N233" s="60"/>
    </row>
    <row r="234" spans="2:14">
      <c r="B234" s="14"/>
      <c r="C234" s="1380"/>
      <c r="D234" s="14"/>
      <c r="E234" s="14"/>
      <c r="F234" s="14"/>
      <c r="G234" s="14"/>
      <c r="H234" s="14"/>
      <c r="I234" s="14"/>
      <c r="J234" s="1367"/>
      <c r="K234" s="14"/>
      <c r="L234" s="17"/>
      <c r="M234" s="88"/>
      <c r="N234" s="60"/>
    </row>
    <row r="235" spans="2:14">
      <c r="B235" s="14"/>
      <c r="C235" s="1380"/>
      <c r="D235" s="14"/>
      <c r="E235" s="14"/>
      <c r="F235" s="14"/>
      <c r="G235" s="14"/>
      <c r="H235" s="14"/>
      <c r="I235" s="14"/>
      <c r="J235" s="1367"/>
      <c r="K235" s="14"/>
      <c r="L235" s="17"/>
      <c r="M235" s="88"/>
      <c r="N235" s="60"/>
    </row>
    <row r="236" spans="2:14">
      <c r="B236" s="14"/>
      <c r="C236" s="1380"/>
      <c r="D236" s="14"/>
      <c r="E236" s="14"/>
      <c r="F236" s="14"/>
      <c r="G236" s="14"/>
      <c r="H236" s="14"/>
      <c r="I236" s="14"/>
      <c r="J236" s="1367"/>
      <c r="K236" s="14"/>
      <c r="L236" s="17"/>
      <c r="M236" s="88"/>
      <c r="N236" s="60"/>
    </row>
    <row r="237" spans="2:14">
      <c r="B237" s="14"/>
      <c r="C237" s="1380"/>
      <c r="D237" s="14"/>
      <c r="E237" s="14"/>
      <c r="F237" s="14"/>
      <c r="G237" s="14"/>
      <c r="H237" s="14"/>
      <c r="I237" s="14"/>
      <c r="J237" s="1367"/>
      <c r="K237" s="14"/>
      <c r="L237" s="17"/>
      <c r="M237" s="88"/>
      <c r="N237" s="60"/>
    </row>
    <row r="238" spans="2:14">
      <c r="B238" s="14"/>
      <c r="C238" s="1380"/>
      <c r="D238" s="14"/>
      <c r="E238" s="14"/>
      <c r="F238" s="14"/>
      <c r="G238" s="14"/>
      <c r="H238" s="14"/>
      <c r="I238" s="14"/>
      <c r="J238" s="1367"/>
      <c r="K238" s="14"/>
      <c r="L238" s="17"/>
      <c r="M238" s="88"/>
      <c r="N238" s="60"/>
    </row>
    <row r="239" spans="2:14">
      <c r="B239" s="14"/>
      <c r="C239" s="1380"/>
      <c r="D239" s="14"/>
      <c r="E239" s="14"/>
      <c r="F239" s="14"/>
      <c r="G239" s="14"/>
      <c r="H239" s="14"/>
      <c r="I239" s="14"/>
      <c r="J239" s="1367"/>
      <c r="K239" s="14"/>
      <c r="L239" s="17"/>
      <c r="M239" s="88"/>
      <c r="N239" s="60"/>
    </row>
    <row r="240" spans="2:14">
      <c r="B240" s="14"/>
      <c r="C240" s="1380"/>
      <c r="D240" s="14"/>
      <c r="E240" s="14"/>
      <c r="F240" s="14"/>
      <c r="G240" s="14"/>
      <c r="H240" s="14"/>
      <c r="I240" s="14"/>
      <c r="J240" s="1367"/>
      <c r="K240" s="14"/>
      <c r="L240" s="17"/>
      <c r="M240" s="88"/>
      <c r="N240" s="60"/>
    </row>
    <row r="241" spans="2:14">
      <c r="B241" s="14"/>
      <c r="C241" s="1380"/>
      <c r="D241" s="14"/>
      <c r="E241" s="14"/>
      <c r="F241" s="14"/>
      <c r="G241" s="14"/>
      <c r="H241" s="14"/>
      <c r="I241" s="14"/>
      <c r="J241" s="1367"/>
      <c r="K241" s="14"/>
      <c r="L241" s="17"/>
      <c r="M241" s="88"/>
      <c r="N241" s="60"/>
    </row>
    <row r="242" spans="2:14">
      <c r="B242" s="14"/>
      <c r="C242" s="1380"/>
      <c r="D242" s="14"/>
      <c r="E242" s="14"/>
      <c r="F242" s="14"/>
      <c r="G242" s="14"/>
      <c r="H242" s="14"/>
      <c r="I242" s="14"/>
      <c r="J242" s="1367"/>
      <c r="K242" s="14"/>
      <c r="L242" s="17"/>
      <c r="M242" s="88"/>
      <c r="N242" s="60"/>
    </row>
    <row r="243" spans="2:14">
      <c r="B243" s="14"/>
      <c r="C243" s="1380"/>
      <c r="D243" s="14"/>
      <c r="E243" s="14"/>
      <c r="F243" s="14"/>
      <c r="G243" s="14"/>
      <c r="H243" s="14"/>
      <c r="I243" s="14"/>
      <c r="J243" s="1367"/>
      <c r="K243" s="14"/>
      <c r="L243" s="17"/>
      <c r="M243" s="88"/>
      <c r="N243" s="60"/>
    </row>
    <row r="244" spans="2:14">
      <c r="B244" s="14"/>
      <c r="C244" s="1380"/>
      <c r="D244" s="14"/>
      <c r="E244" s="14"/>
      <c r="F244" s="14"/>
      <c r="G244" s="14"/>
      <c r="H244" s="14"/>
      <c r="I244" s="14"/>
      <c r="J244" s="1367"/>
      <c r="K244" s="14"/>
      <c r="L244" s="17"/>
      <c r="M244" s="88"/>
      <c r="N244" s="60"/>
    </row>
    <row r="245" spans="2:14">
      <c r="B245" s="14"/>
      <c r="C245" s="1380"/>
      <c r="D245" s="14"/>
      <c r="E245" s="14"/>
      <c r="F245" s="14"/>
      <c r="G245" s="14"/>
      <c r="H245" s="14"/>
      <c r="I245" s="14"/>
      <c r="J245" s="1367"/>
      <c r="K245" s="14"/>
      <c r="L245" s="17"/>
      <c r="M245" s="88"/>
      <c r="N245" s="60"/>
    </row>
    <row r="246" spans="2:14">
      <c r="B246" s="14"/>
      <c r="C246" s="1380"/>
      <c r="D246" s="14"/>
      <c r="E246" s="14"/>
      <c r="F246" s="14"/>
      <c r="G246" s="14"/>
      <c r="H246" s="14"/>
      <c r="I246" s="14"/>
      <c r="J246" s="1367"/>
      <c r="K246" s="14"/>
      <c r="L246" s="17"/>
      <c r="M246" s="88"/>
      <c r="N246" s="60"/>
    </row>
    <row r="247" spans="2:14">
      <c r="B247" s="14"/>
      <c r="C247" s="1380"/>
      <c r="D247" s="14"/>
      <c r="E247" s="14"/>
      <c r="F247" s="14"/>
      <c r="G247" s="14"/>
      <c r="H247" s="14"/>
      <c r="I247" s="14"/>
      <c r="J247" s="1367"/>
      <c r="K247" s="14"/>
      <c r="L247" s="17"/>
      <c r="M247" s="88"/>
      <c r="N247" s="60"/>
    </row>
    <row r="248" spans="2:14">
      <c r="B248" s="14"/>
      <c r="C248" s="1380"/>
      <c r="D248" s="14"/>
      <c r="E248" s="14"/>
      <c r="F248" s="14"/>
      <c r="G248" s="14"/>
      <c r="H248" s="14"/>
      <c r="I248" s="14"/>
      <c r="J248" s="1367"/>
      <c r="K248" s="14"/>
      <c r="L248" s="17"/>
      <c r="M248" s="88"/>
      <c r="N248" s="60"/>
    </row>
    <row r="249" spans="2:14">
      <c r="B249" s="14"/>
      <c r="C249" s="1380"/>
      <c r="D249" s="14"/>
      <c r="E249" s="14"/>
      <c r="F249" s="14"/>
      <c r="G249" s="14"/>
      <c r="H249" s="14"/>
      <c r="I249" s="14"/>
      <c r="J249" s="1367"/>
      <c r="K249" s="14"/>
      <c r="L249" s="17"/>
      <c r="M249" s="88"/>
      <c r="N249" s="60"/>
    </row>
    <row r="250" spans="2:14">
      <c r="B250" s="14"/>
      <c r="C250" s="1380"/>
      <c r="D250" s="14"/>
      <c r="E250" s="14"/>
      <c r="F250" s="14"/>
      <c r="G250" s="14"/>
      <c r="H250" s="14"/>
      <c r="I250" s="14"/>
      <c r="J250" s="1367"/>
      <c r="K250" s="14"/>
      <c r="L250" s="17"/>
      <c r="M250" s="88"/>
      <c r="N250" s="60"/>
    </row>
    <row r="251" spans="2:14">
      <c r="B251" s="14"/>
      <c r="C251" s="1380"/>
      <c r="D251" s="14"/>
      <c r="E251" s="14"/>
      <c r="F251" s="14"/>
      <c r="G251" s="14"/>
      <c r="H251" s="14"/>
      <c r="I251" s="14"/>
      <c r="J251" s="1367"/>
      <c r="K251" s="14"/>
      <c r="L251" s="17"/>
      <c r="M251" s="88"/>
      <c r="N251" s="60"/>
    </row>
    <row r="252" spans="2:14">
      <c r="B252" s="14"/>
      <c r="C252" s="1380"/>
      <c r="D252" s="14"/>
      <c r="E252" s="14"/>
      <c r="F252" s="14"/>
      <c r="G252" s="14"/>
      <c r="H252" s="14"/>
      <c r="I252" s="14"/>
      <c r="J252" s="1367"/>
      <c r="K252" s="14"/>
      <c r="L252" s="17"/>
      <c r="M252" s="88"/>
      <c r="N252" s="60"/>
    </row>
    <row r="253" spans="2:14">
      <c r="B253" s="14"/>
      <c r="C253" s="1380"/>
      <c r="D253" s="14"/>
      <c r="E253" s="14"/>
      <c r="F253" s="14"/>
      <c r="G253" s="14"/>
      <c r="H253" s="14"/>
      <c r="I253" s="14"/>
      <c r="J253" s="1367"/>
      <c r="K253" s="14"/>
      <c r="L253" s="17"/>
      <c r="M253" s="88"/>
      <c r="N253" s="60"/>
    </row>
    <row r="254" spans="2:14">
      <c r="B254" s="14"/>
      <c r="C254" s="1380"/>
      <c r="D254" s="14"/>
      <c r="E254" s="14"/>
      <c r="F254" s="14"/>
      <c r="G254" s="14"/>
      <c r="H254" s="14"/>
      <c r="I254" s="14"/>
      <c r="J254" s="1367"/>
      <c r="K254" s="14"/>
      <c r="L254" s="17"/>
      <c r="M254" s="88"/>
      <c r="N254" s="60"/>
    </row>
    <row r="255" spans="2:14">
      <c r="B255" s="14"/>
      <c r="C255" s="1380"/>
      <c r="D255" s="14"/>
      <c r="E255" s="14"/>
      <c r="F255" s="14"/>
      <c r="G255" s="14"/>
      <c r="H255" s="14"/>
      <c r="I255" s="14"/>
      <c r="J255" s="1367"/>
      <c r="K255" s="14"/>
      <c r="L255" s="17"/>
      <c r="M255" s="88"/>
      <c r="N255" s="60"/>
    </row>
    <row r="256" spans="2:14">
      <c r="B256" s="14"/>
      <c r="C256" s="1380"/>
      <c r="D256" s="14"/>
      <c r="E256" s="14"/>
      <c r="F256" s="14"/>
      <c r="G256" s="14"/>
      <c r="H256" s="14"/>
      <c r="I256" s="14"/>
      <c r="J256" s="1367"/>
      <c r="K256" s="14"/>
      <c r="L256" s="17"/>
      <c r="M256" s="88"/>
      <c r="N256" s="60"/>
    </row>
    <row r="257" spans="1:14">
      <c r="B257" s="14"/>
      <c r="C257" s="1380"/>
      <c r="D257" s="14"/>
      <c r="E257" s="14"/>
      <c r="F257" s="14"/>
      <c r="G257" s="14"/>
      <c r="H257" s="14"/>
      <c r="I257" s="14"/>
      <c r="J257" s="1367"/>
      <c r="K257" s="14"/>
      <c r="L257" s="17"/>
      <c r="M257" s="88"/>
      <c r="N257" s="60"/>
    </row>
    <row r="258" spans="1:14">
      <c r="B258" s="14"/>
      <c r="C258" s="1380"/>
      <c r="D258" s="14"/>
      <c r="E258" s="14"/>
      <c r="F258" s="14"/>
      <c r="G258" s="14"/>
      <c r="H258" s="14"/>
      <c r="I258" s="14"/>
      <c r="J258" s="1367"/>
      <c r="K258" s="14"/>
      <c r="L258" s="17"/>
      <c r="M258" s="88"/>
      <c r="N258" s="60"/>
    </row>
    <row r="259" spans="1:14">
      <c r="B259" s="14"/>
      <c r="C259" s="1380"/>
      <c r="D259" s="14"/>
      <c r="E259" s="14"/>
      <c r="F259" s="14"/>
      <c r="G259" s="14"/>
      <c r="H259" s="14"/>
      <c r="I259" s="14"/>
      <c r="J259" s="1367"/>
      <c r="K259" s="14"/>
      <c r="L259" s="17"/>
      <c r="M259" s="88"/>
      <c r="N259" s="60"/>
    </row>
    <row r="260" spans="1:14">
      <c r="B260" s="14"/>
      <c r="C260" s="1380"/>
      <c r="D260" s="14"/>
      <c r="E260" s="14"/>
      <c r="F260" s="14"/>
      <c r="G260" s="14"/>
      <c r="H260" s="14"/>
      <c r="I260" s="14"/>
      <c r="J260" s="1367"/>
      <c r="K260" s="14"/>
      <c r="L260" s="17"/>
      <c r="M260" s="88"/>
      <c r="N260" s="60"/>
    </row>
    <row r="261" spans="1:14">
      <c r="B261" s="14"/>
      <c r="C261" s="1380"/>
      <c r="D261" s="14"/>
      <c r="E261" s="14"/>
      <c r="F261" s="14"/>
      <c r="G261" s="14"/>
      <c r="H261" s="14"/>
      <c r="I261" s="14"/>
      <c r="J261" s="1367"/>
      <c r="K261" s="14"/>
      <c r="L261" s="17"/>
      <c r="M261" s="88"/>
      <c r="N261" s="60"/>
    </row>
    <row r="262" spans="1:14">
      <c r="B262" s="14"/>
      <c r="C262" s="1380"/>
      <c r="D262" s="14"/>
      <c r="E262" s="14"/>
      <c r="F262" s="14"/>
      <c r="G262" s="14"/>
      <c r="H262" s="14"/>
      <c r="I262" s="14"/>
      <c r="J262" s="1367"/>
      <c r="K262" s="14"/>
      <c r="L262" s="17"/>
      <c r="M262" s="88"/>
      <c r="N262" s="60"/>
    </row>
    <row r="263" spans="1:14">
      <c r="B263" s="14"/>
      <c r="C263" s="1380"/>
      <c r="D263" s="14"/>
      <c r="E263" s="14"/>
      <c r="F263" s="14"/>
      <c r="G263" s="14"/>
      <c r="H263" s="14"/>
      <c r="I263" s="14"/>
      <c r="J263" s="1367"/>
      <c r="K263" s="14"/>
      <c r="L263" s="17"/>
      <c r="M263" s="88"/>
      <c r="N263" s="60"/>
    </row>
    <row r="264" spans="1:14">
      <c r="B264" s="14"/>
      <c r="C264" s="1380"/>
      <c r="D264" s="14"/>
      <c r="E264" s="14"/>
      <c r="F264" s="14"/>
      <c r="G264" s="14"/>
      <c r="H264" s="14"/>
      <c r="I264" s="14"/>
      <c r="J264" s="1367"/>
      <c r="K264" s="14"/>
      <c r="L264" s="17"/>
      <c r="M264" s="88"/>
      <c r="N264" s="60"/>
    </row>
    <row r="265" spans="1:14">
      <c r="B265" s="14"/>
      <c r="C265" s="1380"/>
      <c r="D265" s="14"/>
      <c r="E265" s="14"/>
      <c r="F265" s="14"/>
      <c r="G265" s="14"/>
      <c r="H265" s="14"/>
      <c r="I265" s="14"/>
      <c r="J265" s="1367"/>
      <c r="K265" s="14"/>
      <c r="L265" s="17"/>
      <c r="M265" s="88"/>
      <c r="N265" s="60"/>
    </row>
    <row r="266" spans="1:14">
      <c r="B266" s="14"/>
      <c r="C266" s="1380"/>
      <c r="D266" s="14"/>
      <c r="E266" s="14"/>
      <c r="F266" s="14"/>
      <c r="G266" s="14"/>
      <c r="H266" s="14"/>
      <c r="I266" s="14"/>
      <c r="J266" s="1367"/>
      <c r="K266" s="14"/>
      <c r="L266" s="17"/>
      <c r="M266" s="88"/>
      <c r="N266" s="60"/>
    </row>
    <row r="267" spans="1:14">
      <c r="B267" s="14"/>
      <c r="C267" s="1380"/>
      <c r="D267" s="14"/>
      <c r="E267" s="14"/>
      <c r="F267" s="14"/>
      <c r="G267" s="14"/>
      <c r="H267" s="14"/>
      <c r="I267" s="14"/>
      <c r="J267" s="1367"/>
      <c r="K267" s="14"/>
      <c r="L267" s="17"/>
      <c r="M267" s="88"/>
      <c r="N267" s="60"/>
    </row>
    <row r="268" spans="1:14" s="14" customFormat="1">
      <c r="A268" s="931"/>
      <c r="C268" s="1380"/>
      <c r="J268" s="1367"/>
      <c r="L268" s="17"/>
      <c r="M268" s="88"/>
      <c r="N268" s="60"/>
    </row>
    <row r="269" spans="1:14" s="14" customFormat="1">
      <c r="A269" s="931"/>
      <c r="C269" s="1380"/>
      <c r="J269" s="1367"/>
      <c r="L269" s="17"/>
      <c r="M269" s="88"/>
      <c r="N269" s="60"/>
    </row>
    <row r="270" spans="1:14" s="14" customFormat="1">
      <c r="A270" s="931"/>
      <c r="C270" s="1380"/>
      <c r="J270" s="1367"/>
      <c r="L270" s="17"/>
      <c r="M270" s="88"/>
      <c r="N270" s="60"/>
    </row>
    <row r="271" spans="1:14" s="14" customFormat="1">
      <c r="A271" s="931"/>
      <c r="C271" s="1380"/>
      <c r="J271" s="1367"/>
      <c r="L271" s="17"/>
      <c r="M271" s="88"/>
      <c r="N271" s="60"/>
    </row>
    <row r="272" spans="1:14" s="14" customFormat="1">
      <c r="A272" s="931"/>
      <c r="C272" s="1380"/>
      <c r="J272" s="1367"/>
      <c r="L272" s="17"/>
      <c r="M272" s="88"/>
      <c r="N272" s="60"/>
    </row>
    <row r="273" spans="1:14" s="14" customFormat="1">
      <c r="A273" s="931"/>
      <c r="C273" s="1380"/>
      <c r="J273" s="1367"/>
      <c r="L273" s="17"/>
      <c r="M273" s="88"/>
      <c r="N273" s="60"/>
    </row>
    <row r="274" spans="1:14" s="14" customFormat="1">
      <c r="A274" s="931"/>
      <c r="C274" s="1380"/>
      <c r="J274" s="1367"/>
      <c r="L274" s="17"/>
      <c r="M274" s="88"/>
      <c r="N274" s="60"/>
    </row>
    <row r="275" spans="1:14" s="14" customFormat="1">
      <c r="A275" s="931"/>
      <c r="C275" s="1380"/>
      <c r="J275" s="1367"/>
      <c r="L275" s="17"/>
      <c r="M275" s="88"/>
      <c r="N275" s="60"/>
    </row>
    <row r="276" spans="1:14" s="14" customFormat="1">
      <c r="A276" s="931"/>
      <c r="C276" s="1380"/>
      <c r="J276" s="1367"/>
      <c r="L276" s="17"/>
      <c r="M276" s="88"/>
      <c r="N276" s="60"/>
    </row>
    <row r="277" spans="1:14" s="14" customFormat="1">
      <c r="A277" s="931"/>
      <c r="C277" s="1380"/>
      <c r="J277" s="1367"/>
      <c r="L277" s="17"/>
      <c r="M277" s="88"/>
      <c r="N277" s="60"/>
    </row>
    <row r="278" spans="1:14" s="14" customFormat="1">
      <c r="A278" s="931"/>
      <c r="C278" s="1380"/>
      <c r="J278" s="1367"/>
      <c r="L278" s="17"/>
      <c r="M278" s="88"/>
      <c r="N278" s="60"/>
    </row>
    <row r="279" spans="1:14" s="14" customFormat="1">
      <c r="A279" s="931"/>
      <c r="C279" s="1380"/>
      <c r="J279" s="1367"/>
      <c r="L279" s="17"/>
      <c r="M279" s="88"/>
      <c r="N279" s="60"/>
    </row>
    <row r="280" spans="1:14" s="14" customFormat="1">
      <c r="A280" s="931"/>
      <c r="C280" s="1380"/>
      <c r="J280" s="1367"/>
      <c r="L280" s="17"/>
      <c r="M280" s="88"/>
      <c r="N280" s="60"/>
    </row>
    <row r="281" spans="1:14" s="14" customFormat="1">
      <c r="A281" s="931"/>
      <c r="C281" s="1380"/>
      <c r="J281" s="1367"/>
      <c r="L281" s="17"/>
      <c r="M281" s="88"/>
      <c r="N281" s="60"/>
    </row>
    <row r="282" spans="1:14" s="14" customFormat="1">
      <c r="A282" s="931"/>
      <c r="C282" s="1380"/>
      <c r="J282" s="1367"/>
      <c r="L282" s="17"/>
      <c r="M282" s="88"/>
      <c r="N282" s="60"/>
    </row>
    <row r="283" spans="1:14" s="14" customFormat="1">
      <c r="A283" s="931"/>
      <c r="C283" s="1380"/>
      <c r="J283" s="1367"/>
      <c r="L283" s="17"/>
      <c r="M283" s="88"/>
      <c r="N283" s="60"/>
    </row>
    <row r="284" spans="1:14" s="14" customFormat="1">
      <c r="A284" s="931"/>
      <c r="C284" s="1380"/>
      <c r="J284" s="1367"/>
      <c r="L284" s="17"/>
      <c r="M284" s="88"/>
      <c r="N284" s="60"/>
    </row>
    <row r="285" spans="1:14" s="14" customFormat="1">
      <c r="A285" s="931"/>
      <c r="C285" s="1380"/>
      <c r="J285" s="1367"/>
      <c r="L285" s="17"/>
      <c r="M285" s="88"/>
      <c r="N285" s="60"/>
    </row>
    <row r="286" spans="1:14" s="14" customFormat="1">
      <c r="A286" s="931"/>
      <c r="C286" s="1380"/>
      <c r="J286" s="1367"/>
      <c r="L286" s="17"/>
      <c r="M286" s="88"/>
      <c r="N286" s="60"/>
    </row>
    <row r="287" spans="1:14" s="14" customFormat="1">
      <c r="A287" s="931"/>
      <c r="C287" s="1380"/>
      <c r="J287" s="1367"/>
      <c r="L287" s="17"/>
      <c r="M287" s="88"/>
      <c r="N287" s="60"/>
    </row>
    <row r="288" spans="1:14" s="14" customFormat="1">
      <c r="A288" s="931"/>
      <c r="C288" s="1380"/>
      <c r="J288" s="1367"/>
      <c r="L288" s="17"/>
      <c r="M288" s="88"/>
      <c r="N288" s="60"/>
    </row>
    <row r="289" spans="1:14" s="14" customFormat="1">
      <c r="A289" s="931"/>
      <c r="C289" s="1380"/>
      <c r="J289" s="1367"/>
      <c r="L289" s="17"/>
      <c r="M289" s="88"/>
      <c r="N289" s="60"/>
    </row>
    <row r="290" spans="1:14" s="14" customFormat="1">
      <c r="A290" s="931"/>
      <c r="C290" s="1380"/>
      <c r="J290" s="1367"/>
      <c r="L290" s="17"/>
      <c r="M290" s="88"/>
      <c r="N290" s="60"/>
    </row>
    <row r="291" spans="1:14" s="14" customFormat="1">
      <c r="A291" s="931"/>
      <c r="C291" s="1380"/>
      <c r="J291" s="1367"/>
      <c r="L291" s="17"/>
      <c r="M291" s="88"/>
      <c r="N291" s="60"/>
    </row>
    <row r="292" spans="1:14" s="14" customFormat="1">
      <c r="A292" s="931"/>
      <c r="C292" s="1380"/>
      <c r="J292" s="1367"/>
      <c r="L292" s="17"/>
      <c r="M292" s="88"/>
      <c r="N292" s="60"/>
    </row>
    <row r="293" spans="1:14" s="14" customFormat="1">
      <c r="A293" s="931"/>
      <c r="C293" s="1380"/>
      <c r="J293" s="1367"/>
      <c r="L293" s="17"/>
      <c r="M293" s="88"/>
      <c r="N293" s="60"/>
    </row>
    <row r="294" spans="1:14" s="14" customFormat="1">
      <c r="A294" s="931"/>
      <c r="C294" s="1380"/>
      <c r="J294" s="1367"/>
      <c r="L294" s="17"/>
      <c r="M294" s="88"/>
      <c r="N294" s="60"/>
    </row>
    <row r="295" spans="1:14" s="14" customFormat="1">
      <c r="A295" s="931"/>
      <c r="C295" s="1380"/>
      <c r="J295" s="1367"/>
      <c r="L295" s="17"/>
      <c r="M295" s="88"/>
      <c r="N295" s="60"/>
    </row>
    <row r="296" spans="1:14" s="14" customFormat="1">
      <c r="A296" s="931"/>
      <c r="C296" s="1380"/>
      <c r="J296" s="1367"/>
      <c r="L296" s="17"/>
      <c r="M296" s="88"/>
      <c r="N296" s="60"/>
    </row>
    <row r="297" spans="1:14" s="14" customFormat="1">
      <c r="A297" s="931"/>
      <c r="C297" s="1380"/>
      <c r="J297" s="1367"/>
      <c r="L297" s="17"/>
      <c r="M297" s="88"/>
      <c r="N297" s="60"/>
    </row>
    <row r="298" spans="1:14" s="14" customFormat="1">
      <c r="A298" s="931"/>
      <c r="C298" s="1380"/>
      <c r="J298" s="1367"/>
      <c r="L298" s="17"/>
      <c r="M298" s="88"/>
      <c r="N298" s="60"/>
    </row>
    <row r="299" spans="1:14" s="14" customFormat="1">
      <c r="A299" s="931"/>
      <c r="C299" s="1380"/>
      <c r="J299" s="1367"/>
      <c r="L299" s="17"/>
      <c r="M299" s="88"/>
      <c r="N299" s="60"/>
    </row>
    <row r="300" spans="1:14" s="14" customFormat="1">
      <c r="A300" s="931"/>
      <c r="C300" s="1380"/>
      <c r="J300" s="1367"/>
      <c r="L300" s="17"/>
      <c r="M300" s="88"/>
      <c r="N300" s="60"/>
    </row>
    <row r="301" spans="1:14" s="14" customFormat="1">
      <c r="A301" s="931"/>
      <c r="C301" s="1380"/>
      <c r="J301" s="1367"/>
      <c r="L301" s="17"/>
      <c r="M301" s="88"/>
      <c r="N301" s="60"/>
    </row>
    <row r="302" spans="1:14" s="14" customFormat="1">
      <c r="A302" s="931"/>
      <c r="C302" s="1380"/>
      <c r="J302" s="1367"/>
      <c r="L302" s="17"/>
      <c r="M302" s="88"/>
      <c r="N302" s="60"/>
    </row>
    <row r="303" spans="1:14" s="14" customFormat="1">
      <c r="A303" s="931"/>
      <c r="C303" s="1380"/>
      <c r="J303" s="1367"/>
      <c r="L303" s="17"/>
      <c r="M303" s="88"/>
      <c r="N303" s="60"/>
    </row>
    <row r="304" spans="1:14" s="14" customFormat="1">
      <c r="A304" s="931"/>
      <c r="C304" s="1380"/>
      <c r="J304" s="1367"/>
      <c r="L304" s="17"/>
      <c r="M304" s="88"/>
      <c r="N304" s="60"/>
    </row>
    <row r="305" spans="1:14" s="14" customFormat="1">
      <c r="A305" s="931"/>
      <c r="C305" s="1380"/>
      <c r="J305" s="1367"/>
      <c r="L305" s="17"/>
      <c r="M305" s="88"/>
      <c r="N305" s="60"/>
    </row>
    <row r="306" spans="1:14" s="14" customFormat="1">
      <c r="A306" s="931"/>
      <c r="C306" s="1380"/>
      <c r="J306" s="1367"/>
      <c r="L306" s="17"/>
      <c r="M306" s="88"/>
      <c r="N306" s="60"/>
    </row>
    <row r="307" spans="1:14" s="14" customFormat="1">
      <c r="A307" s="931"/>
      <c r="C307" s="1380"/>
      <c r="J307" s="1367"/>
      <c r="L307" s="17"/>
      <c r="M307" s="88"/>
      <c r="N307" s="60"/>
    </row>
    <row r="308" spans="1:14" s="14" customFormat="1">
      <c r="A308" s="931"/>
      <c r="C308" s="1380"/>
      <c r="J308" s="1367"/>
      <c r="L308" s="17"/>
      <c r="M308" s="88"/>
      <c r="N308" s="60"/>
    </row>
    <row r="309" spans="1:14" s="14" customFormat="1">
      <c r="A309" s="931"/>
      <c r="C309" s="1380"/>
      <c r="J309" s="1367"/>
      <c r="L309" s="17"/>
      <c r="M309" s="88"/>
      <c r="N309" s="60"/>
    </row>
    <row r="310" spans="1:14" s="14" customFormat="1">
      <c r="A310" s="931"/>
      <c r="C310" s="1380"/>
      <c r="J310" s="1367"/>
      <c r="L310" s="17"/>
      <c r="M310" s="88"/>
      <c r="N310" s="60"/>
    </row>
    <row r="311" spans="1:14" s="14" customFormat="1">
      <c r="A311" s="931"/>
      <c r="C311" s="1380"/>
      <c r="J311" s="1367"/>
      <c r="L311" s="17"/>
      <c r="M311" s="88"/>
      <c r="N311" s="60"/>
    </row>
    <row r="312" spans="1:14" s="14" customFormat="1">
      <c r="A312" s="931"/>
      <c r="C312" s="1380"/>
      <c r="J312" s="1367"/>
      <c r="L312" s="17"/>
      <c r="M312" s="88"/>
      <c r="N312" s="60"/>
    </row>
    <row r="313" spans="1:14" s="14" customFormat="1">
      <c r="A313" s="931"/>
      <c r="C313" s="1380"/>
      <c r="J313" s="1367"/>
      <c r="L313" s="17"/>
      <c r="M313" s="88"/>
      <c r="N313" s="60"/>
    </row>
    <row r="314" spans="1:14" s="14" customFormat="1">
      <c r="A314" s="931"/>
      <c r="C314" s="1380"/>
      <c r="J314" s="1367"/>
      <c r="L314" s="17"/>
      <c r="M314" s="88"/>
      <c r="N314" s="60"/>
    </row>
    <row r="315" spans="1:14" s="14" customFormat="1">
      <c r="A315" s="931"/>
      <c r="C315" s="1380"/>
      <c r="J315" s="1367"/>
      <c r="L315" s="17"/>
      <c r="M315" s="88"/>
      <c r="N315" s="60"/>
    </row>
    <row r="316" spans="1:14" s="14" customFormat="1">
      <c r="A316" s="931"/>
      <c r="C316" s="1380"/>
      <c r="J316" s="1367"/>
      <c r="L316" s="17"/>
      <c r="M316" s="88"/>
      <c r="N316" s="60"/>
    </row>
    <row r="317" spans="1:14" s="14" customFormat="1">
      <c r="A317" s="931"/>
      <c r="C317" s="1380"/>
      <c r="J317" s="1367"/>
      <c r="L317" s="17"/>
      <c r="M317" s="88"/>
      <c r="N317" s="60"/>
    </row>
    <row r="318" spans="1:14" s="14" customFormat="1">
      <c r="A318" s="931"/>
      <c r="C318" s="1380"/>
      <c r="J318" s="1367"/>
      <c r="L318" s="17"/>
      <c r="M318" s="88"/>
      <c r="N318" s="60"/>
    </row>
    <row r="319" spans="1:14" s="14" customFormat="1">
      <c r="A319" s="931"/>
      <c r="C319" s="1380"/>
      <c r="J319" s="1367"/>
      <c r="L319" s="17"/>
      <c r="M319" s="88"/>
      <c r="N319" s="60"/>
    </row>
    <row r="320" spans="1:14" s="14" customFormat="1">
      <c r="A320" s="931"/>
      <c r="C320" s="1380"/>
      <c r="J320" s="1367"/>
      <c r="L320" s="17"/>
      <c r="M320" s="88"/>
      <c r="N320" s="60"/>
    </row>
    <row r="321" spans="1:14" s="14" customFormat="1">
      <c r="A321" s="931"/>
      <c r="C321" s="1380"/>
      <c r="J321" s="1367"/>
      <c r="L321" s="17"/>
      <c r="M321" s="88"/>
      <c r="N321" s="60"/>
    </row>
    <row r="322" spans="1:14" s="14" customFormat="1">
      <c r="A322" s="931"/>
      <c r="C322" s="1380"/>
      <c r="J322" s="1367"/>
      <c r="L322" s="17"/>
      <c r="M322" s="88"/>
      <c r="N322" s="60"/>
    </row>
    <row r="323" spans="1:14" s="14" customFormat="1">
      <c r="A323" s="931"/>
      <c r="C323" s="1380"/>
      <c r="J323" s="1367"/>
      <c r="L323" s="17"/>
      <c r="M323" s="88"/>
      <c r="N323" s="60"/>
    </row>
    <row r="324" spans="1:14" s="14" customFormat="1">
      <c r="A324" s="931"/>
      <c r="C324" s="1380"/>
      <c r="J324" s="1367"/>
      <c r="L324" s="17"/>
      <c r="M324" s="88"/>
      <c r="N324" s="60"/>
    </row>
    <row r="325" spans="1:14" s="14" customFormat="1">
      <c r="A325" s="931"/>
      <c r="C325" s="1380"/>
      <c r="J325" s="1367"/>
      <c r="L325" s="17"/>
      <c r="M325" s="88"/>
      <c r="N325" s="60"/>
    </row>
    <row r="326" spans="1:14" s="14" customFormat="1">
      <c r="A326" s="931"/>
      <c r="C326" s="1380"/>
      <c r="J326" s="1367"/>
      <c r="L326" s="17"/>
      <c r="M326" s="88"/>
      <c r="N326" s="60"/>
    </row>
    <row r="327" spans="1:14" s="14" customFormat="1">
      <c r="A327" s="931"/>
      <c r="C327" s="1380"/>
      <c r="J327" s="1367"/>
      <c r="L327" s="17"/>
      <c r="M327" s="88"/>
      <c r="N327" s="60"/>
    </row>
    <row r="328" spans="1:14" s="14" customFormat="1">
      <c r="A328" s="931"/>
      <c r="C328" s="1380"/>
      <c r="J328" s="1367"/>
      <c r="L328" s="17"/>
      <c r="M328" s="88"/>
      <c r="N328" s="60"/>
    </row>
    <row r="329" spans="1:14" s="14" customFormat="1">
      <c r="A329" s="931"/>
      <c r="C329" s="1380"/>
      <c r="J329" s="1367"/>
      <c r="L329" s="17"/>
      <c r="M329" s="88"/>
      <c r="N329" s="60"/>
    </row>
    <row r="330" spans="1:14" s="14" customFormat="1">
      <c r="A330" s="931"/>
      <c r="C330" s="1380"/>
      <c r="J330" s="1367"/>
      <c r="L330" s="17"/>
      <c r="M330" s="88"/>
      <c r="N330" s="60"/>
    </row>
    <row r="331" spans="1:14" s="14" customFormat="1">
      <c r="A331" s="931"/>
      <c r="C331" s="1380"/>
      <c r="J331" s="1367"/>
      <c r="L331" s="17"/>
      <c r="M331" s="88"/>
      <c r="N331" s="60"/>
    </row>
    <row r="332" spans="1:14" s="14" customFormat="1">
      <c r="A332" s="931"/>
      <c r="C332" s="1380"/>
      <c r="J332" s="1367"/>
      <c r="L332" s="17"/>
      <c r="M332" s="88"/>
      <c r="N332" s="60"/>
    </row>
    <row r="333" spans="1:14" s="14" customFormat="1">
      <c r="A333" s="931"/>
      <c r="C333" s="1380"/>
      <c r="J333" s="1367"/>
      <c r="L333" s="17"/>
      <c r="M333" s="88"/>
      <c r="N333" s="60"/>
    </row>
    <row r="334" spans="1:14" s="14" customFormat="1">
      <c r="A334" s="931"/>
      <c r="C334" s="1380"/>
      <c r="J334" s="1367"/>
      <c r="L334" s="17"/>
      <c r="M334" s="88"/>
      <c r="N334" s="60"/>
    </row>
    <row r="335" spans="1:14" s="14" customFormat="1">
      <c r="A335" s="931"/>
      <c r="C335" s="1380"/>
      <c r="J335" s="1367"/>
      <c r="L335" s="17"/>
      <c r="M335" s="88"/>
      <c r="N335" s="60"/>
    </row>
    <row r="336" spans="1:14" s="14" customFormat="1">
      <c r="A336" s="931"/>
      <c r="C336" s="1380"/>
      <c r="J336" s="1367"/>
      <c r="L336" s="17"/>
      <c r="M336" s="88"/>
      <c r="N336" s="60"/>
    </row>
    <row r="337" spans="1:14" s="14" customFormat="1">
      <c r="A337" s="931"/>
      <c r="C337" s="1380"/>
      <c r="J337" s="1367"/>
      <c r="L337" s="17"/>
      <c r="M337" s="88"/>
      <c r="N337" s="60"/>
    </row>
    <row r="338" spans="1:14" s="14" customFormat="1">
      <c r="A338" s="931"/>
      <c r="C338" s="1380"/>
      <c r="J338" s="1367"/>
      <c r="L338" s="17"/>
      <c r="M338" s="88"/>
      <c r="N338" s="60"/>
    </row>
    <row r="339" spans="1:14" s="14" customFormat="1">
      <c r="A339" s="931"/>
      <c r="C339" s="1380"/>
      <c r="J339" s="1367"/>
      <c r="L339" s="17"/>
      <c r="M339" s="88"/>
      <c r="N339" s="60"/>
    </row>
    <row r="340" spans="1:14" s="14" customFormat="1">
      <c r="A340" s="931"/>
      <c r="C340" s="1380"/>
      <c r="J340" s="1367"/>
      <c r="L340" s="17"/>
      <c r="M340" s="88"/>
      <c r="N340" s="60"/>
    </row>
    <row r="341" spans="1:14" s="14" customFormat="1">
      <c r="A341" s="931"/>
      <c r="C341" s="1380"/>
      <c r="J341" s="1367"/>
      <c r="L341" s="17"/>
      <c r="M341" s="88"/>
      <c r="N341" s="60"/>
    </row>
    <row r="342" spans="1:14" s="14" customFormat="1">
      <c r="A342" s="931"/>
      <c r="C342" s="1380"/>
      <c r="J342" s="1367"/>
      <c r="L342" s="17"/>
      <c r="M342" s="88"/>
      <c r="N342" s="60"/>
    </row>
    <row r="343" spans="1:14" s="14" customFormat="1">
      <c r="A343" s="931"/>
      <c r="C343" s="1380"/>
      <c r="J343" s="1367"/>
      <c r="L343" s="17"/>
      <c r="M343" s="88"/>
      <c r="N343" s="60"/>
    </row>
    <row r="344" spans="1:14" s="14" customFormat="1">
      <c r="A344" s="931"/>
      <c r="C344" s="1380"/>
      <c r="J344" s="1367"/>
      <c r="L344" s="17"/>
      <c r="M344" s="88"/>
      <c r="N344" s="60"/>
    </row>
    <row r="345" spans="1:14" s="14" customFormat="1">
      <c r="A345" s="931"/>
      <c r="C345" s="1380"/>
      <c r="J345" s="1367"/>
      <c r="L345" s="17"/>
      <c r="M345" s="88"/>
      <c r="N345" s="60"/>
    </row>
    <row r="346" spans="1:14" s="14" customFormat="1">
      <c r="A346" s="931"/>
      <c r="C346" s="1380"/>
      <c r="J346" s="1367"/>
      <c r="L346" s="17"/>
      <c r="M346" s="88"/>
      <c r="N346" s="60"/>
    </row>
    <row r="347" spans="1:14" s="14" customFormat="1">
      <c r="A347" s="931"/>
      <c r="C347" s="1380"/>
      <c r="J347" s="1367"/>
      <c r="L347" s="17"/>
      <c r="M347" s="88"/>
      <c r="N347" s="60"/>
    </row>
    <row r="348" spans="1:14">
      <c r="B348" s="14"/>
      <c r="C348" s="1380"/>
      <c r="D348" s="14"/>
      <c r="E348" s="14"/>
      <c r="F348" s="14"/>
      <c r="G348" s="14"/>
      <c r="H348" s="14"/>
      <c r="I348" s="14"/>
      <c r="J348" s="1367"/>
      <c r="K348" s="14"/>
      <c r="L348" s="17"/>
      <c r="M348" s="88"/>
      <c r="N348" s="60"/>
    </row>
    <row r="349" spans="1:14">
      <c r="B349" s="14"/>
      <c r="C349" s="1380"/>
      <c r="D349" s="14"/>
      <c r="E349" s="14"/>
      <c r="F349" s="14"/>
      <c r="G349" s="14"/>
      <c r="H349" s="14"/>
      <c r="I349" s="14"/>
      <c r="J349" s="1367"/>
      <c r="K349" s="14"/>
      <c r="L349" s="17"/>
      <c r="M349" s="88"/>
      <c r="N349" s="60"/>
    </row>
    <row r="350" spans="1:14">
      <c r="B350" s="14"/>
      <c r="C350" s="1380"/>
      <c r="D350" s="14"/>
      <c r="E350" s="14"/>
      <c r="F350" s="14"/>
      <c r="G350" s="14"/>
      <c r="H350" s="14"/>
      <c r="I350" s="14"/>
      <c r="J350" s="1367"/>
      <c r="K350" s="14"/>
      <c r="L350" s="17"/>
      <c r="M350" s="88"/>
      <c r="N350" s="60"/>
    </row>
    <row r="351" spans="1:14">
      <c r="B351" s="14"/>
      <c r="C351" s="1380"/>
      <c r="D351" s="14"/>
      <c r="E351" s="14"/>
      <c r="F351" s="14"/>
      <c r="G351" s="14"/>
      <c r="H351" s="14"/>
      <c r="I351" s="14"/>
      <c r="J351" s="1367"/>
      <c r="K351" s="14"/>
      <c r="L351" s="17"/>
      <c r="M351" s="88"/>
      <c r="N351" s="60"/>
    </row>
    <row r="352" spans="1:14">
      <c r="B352" s="14"/>
      <c r="C352" s="1380"/>
      <c r="D352" s="14"/>
      <c r="E352" s="14"/>
      <c r="F352" s="14"/>
      <c r="G352" s="14"/>
      <c r="H352" s="14"/>
      <c r="I352" s="14"/>
      <c r="J352" s="1367"/>
      <c r="K352" s="14"/>
      <c r="L352" s="17"/>
      <c r="M352" s="88"/>
      <c r="N352" s="60"/>
    </row>
    <row r="353" spans="2:14">
      <c r="B353" s="14"/>
      <c r="C353" s="1380"/>
      <c r="D353" s="14"/>
      <c r="E353" s="14"/>
      <c r="F353" s="14"/>
      <c r="G353" s="14"/>
      <c r="H353" s="14"/>
      <c r="I353" s="14"/>
      <c r="J353" s="1367"/>
      <c r="K353" s="14"/>
      <c r="L353" s="17"/>
      <c r="M353" s="88"/>
      <c r="N353" s="60"/>
    </row>
    <row r="354" spans="2:14">
      <c r="B354" s="14"/>
      <c r="C354" s="1380"/>
      <c r="D354" s="14"/>
      <c r="E354" s="14"/>
      <c r="F354" s="14"/>
      <c r="G354" s="14"/>
      <c r="H354" s="14"/>
      <c r="I354" s="14"/>
      <c r="J354" s="1367"/>
      <c r="K354" s="14"/>
      <c r="L354" s="17"/>
      <c r="M354" s="88"/>
      <c r="N354" s="60"/>
    </row>
    <row r="355" spans="2:14">
      <c r="C355" s="1380"/>
      <c r="D355" s="14"/>
      <c r="E355" s="14"/>
      <c r="F355" s="14"/>
      <c r="G355" s="14"/>
      <c r="H355" s="14"/>
      <c r="I355" s="14"/>
      <c r="J355" s="1367"/>
      <c r="K355" s="14"/>
      <c r="L355" s="17"/>
      <c r="M355" s="88"/>
      <c r="N355" s="60"/>
    </row>
    <row r="356" spans="2:14">
      <c r="C356" s="1380"/>
      <c r="D356" s="14"/>
      <c r="E356" s="14"/>
      <c r="F356" s="14"/>
      <c r="G356" s="14"/>
      <c r="H356" s="14"/>
      <c r="I356" s="14"/>
      <c r="J356" s="1367"/>
      <c r="K356" s="14"/>
      <c r="L356" s="17"/>
      <c r="M356" s="88"/>
      <c r="N356" s="60"/>
    </row>
    <row r="357" spans="2:14">
      <c r="C357" s="1380"/>
      <c r="D357" s="14"/>
      <c r="E357" s="14"/>
      <c r="F357" s="14"/>
      <c r="G357" s="14"/>
      <c r="H357" s="14"/>
      <c r="I357" s="14"/>
      <c r="J357" s="1367"/>
      <c r="K357" s="14"/>
      <c r="L357" s="17"/>
      <c r="M357" s="88"/>
      <c r="N357" s="60"/>
    </row>
    <row r="358" spans="2:14">
      <c r="C358" s="1380"/>
      <c r="D358" s="14"/>
      <c r="E358" s="14"/>
      <c r="F358" s="14"/>
      <c r="G358" s="14"/>
      <c r="H358" s="14"/>
      <c r="I358" s="14"/>
      <c r="J358" s="1367"/>
      <c r="K358" s="14"/>
      <c r="L358" s="17"/>
      <c r="M358" s="88"/>
      <c r="N358" s="60"/>
    </row>
    <row r="359" spans="2:14">
      <c r="C359" s="1380"/>
      <c r="D359" s="14"/>
      <c r="E359" s="14"/>
      <c r="F359" s="14"/>
      <c r="G359" s="14"/>
      <c r="H359" s="14"/>
      <c r="I359" s="14"/>
      <c r="J359" s="1367"/>
      <c r="K359" s="14"/>
      <c r="L359" s="17"/>
      <c r="M359" s="88"/>
      <c r="N359" s="60"/>
    </row>
    <row r="360" spans="2:14">
      <c r="C360" s="1380"/>
      <c r="D360" s="14"/>
      <c r="E360" s="14"/>
      <c r="F360" s="14"/>
      <c r="G360" s="14"/>
      <c r="H360" s="14"/>
      <c r="I360" s="14"/>
      <c r="J360" s="1367"/>
      <c r="K360" s="14"/>
      <c r="L360" s="17"/>
      <c r="M360" s="88"/>
      <c r="N360" s="60"/>
    </row>
    <row r="361" spans="2:14">
      <c r="C361" s="1380"/>
      <c r="D361" s="14"/>
      <c r="E361" s="14"/>
      <c r="F361" s="14"/>
      <c r="G361" s="14"/>
      <c r="H361" s="14"/>
      <c r="I361" s="14"/>
      <c r="J361" s="1367"/>
      <c r="K361" s="14"/>
      <c r="L361" s="17"/>
      <c r="M361" s="88"/>
      <c r="N361" s="60"/>
    </row>
    <row r="362" spans="2:14">
      <c r="C362" s="1380"/>
      <c r="D362" s="14"/>
      <c r="E362" s="14"/>
      <c r="F362" s="14"/>
      <c r="G362" s="14"/>
      <c r="H362" s="14"/>
      <c r="I362" s="14"/>
      <c r="J362" s="1367"/>
      <c r="K362" s="14"/>
      <c r="L362" s="17"/>
      <c r="M362" s="88"/>
      <c r="N362" s="60"/>
    </row>
    <row r="363" spans="2:14">
      <c r="M363" s="88"/>
    </row>
    <row r="364" spans="2:14">
      <c r="M364" s="88"/>
    </row>
    <row r="365" spans="2:14">
      <c r="M365" s="88"/>
    </row>
    <row r="366" spans="2:14">
      <c r="M366" s="88"/>
    </row>
    <row r="367" spans="2:14">
      <c r="M367" s="88"/>
    </row>
    <row r="368" spans="2:14">
      <c r="M368" s="88"/>
    </row>
    <row r="369" spans="13:13">
      <c r="M369" s="88"/>
    </row>
    <row r="370" spans="13:13">
      <c r="M370" s="88"/>
    </row>
    <row r="371" spans="13:13">
      <c r="M371" s="88"/>
    </row>
    <row r="372" spans="13:13">
      <c r="M372" s="88"/>
    </row>
    <row r="373" spans="13:13">
      <c r="M373" s="88"/>
    </row>
    <row r="374" spans="13:13">
      <c r="M374" s="88"/>
    </row>
    <row r="375" spans="13:13">
      <c r="M375" s="88"/>
    </row>
    <row r="376" spans="13:13">
      <c r="M376" s="88"/>
    </row>
    <row r="377" spans="13:13">
      <c r="M377" s="88"/>
    </row>
    <row r="378" spans="13:13">
      <c r="M378" s="88"/>
    </row>
  </sheetData>
  <sheetProtection sheet="1" objects="1" scenarios="1" selectLockedCells="1"/>
  <customSheetViews>
    <customSheetView guid="{459F3284-99E1-4A46-80B6-CF44B0CB392E}" scale="105" zeroValues="0" fitToPage="1" hiddenRows="1">
      <pane xSplit="1" ySplit="13" topLeftCell="B56" activePane="bottomRight" state="frozenSplit"/>
      <selection pane="bottomRight" activeCell="L12" sqref="L12"/>
      <printOptions horizontalCentered="1"/>
      <pageSetup paperSize="9" scale="75" fitToHeight="2" orientation="portrait"/>
      <headerFooter alignWithMargins="0"/>
    </customSheetView>
  </customSheetViews>
  <mergeCells count="3">
    <mergeCell ref="M15:N15"/>
    <mergeCell ref="B4:N4"/>
    <mergeCell ref="M13:M14"/>
  </mergeCells>
  <phoneticPr fontId="2" type="noConversion"/>
  <dataValidations count="1">
    <dataValidation type="list" allowBlank="1" showInputMessage="1" showErrorMessage="1" sqref="B16:B17">
      <formula1>Futtermittel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fitToHeight="2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3" name="Button 2">
              <controlPr defaultSize="0" print="0" autoFill="0" autoPict="0" macro="[0]!Startseite">
                <anchor moveWithCells="1">
                  <from>
                    <xdr:col>2</xdr:col>
                    <xdr:colOff>25400</xdr:colOff>
                    <xdr:row>1</xdr:row>
                    <xdr:rowOff>0</xdr:rowOff>
                  </from>
                  <to>
                    <xdr:col>4</xdr:col>
                    <xdr:colOff>558800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7171" r:id="rId4" name="Button 3">
              <controlPr defaultSize="0" print="0" autoFill="0" autoPict="0" macro="[0]!Futterberechnung">
                <anchor moveWithCells="1">
                  <from>
                    <xdr:col>5</xdr:col>
                    <xdr:colOff>25400</xdr:colOff>
                    <xdr:row>1</xdr:row>
                    <xdr:rowOff>0</xdr:rowOff>
                  </from>
                  <to>
                    <xdr:col>7</xdr:col>
                    <xdr:colOff>558800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7175" r:id="rId5" name="Button 7">
              <controlPr defaultSize="0" print="0" autoFill="0" autoPict="0" macro="[0]!FuMi_Liste">
                <anchor moveWithCells="1">
                  <from>
                    <xdr:col>8</xdr:col>
                    <xdr:colOff>25400</xdr:colOff>
                    <xdr:row>1</xdr:row>
                    <xdr:rowOff>0</xdr:rowOff>
                  </from>
                  <to>
                    <xdr:col>10</xdr:col>
                    <xdr:colOff>571500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 enableFormatConditionsCalculation="0">
    <tabColor indexed="35"/>
    <pageSetUpPr fitToPage="1"/>
  </sheetPr>
  <dimension ref="A1:AK48"/>
  <sheetViews>
    <sheetView showGridLines="0" showRowColHeaders="0" zoomScale="86" workbookViewId="0">
      <pane xSplit="4" ySplit="10" topLeftCell="L11" activePane="bottomRight" state="frozen"/>
      <selection activeCell="AE16" sqref="AE16"/>
      <selection pane="topRight" activeCell="AE16" sqref="AE16"/>
      <selection pane="bottomLeft" activeCell="AE16" sqref="AE16"/>
      <selection pane="bottomRight" activeCell="D16" sqref="D16"/>
    </sheetView>
  </sheetViews>
  <sheetFormatPr baseColWidth="10" defaultRowHeight="15" x14ac:dyDescent="0"/>
  <cols>
    <col min="1" max="1" width="38.33203125" style="22" hidden="1" customWidth="1"/>
    <col min="2" max="2" width="1.33203125" style="22" customWidth="1"/>
    <col min="3" max="3" width="5.6640625" style="30" customWidth="1"/>
    <col min="4" max="4" width="39.6640625" style="22" customWidth="1"/>
    <col min="5" max="15" width="7.6640625" style="22" customWidth="1"/>
    <col min="16" max="17" width="7.6640625" style="25" customWidth="1"/>
    <col min="18" max="18" width="17.33203125" style="25" customWidth="1"/>
    <col min="19" max="19" width="11.33203125" style="25" hidden="1" customWidth="1"/>
    <col min="20" max="20" width="11.33203125" style="25" customWidth="1"/>
    <col min="21" max="24" width="10.83203125" style="22"/>
    <col min="25" max="25" width="0" style="22" hidden="1" customWidth="1"/>
    <col min="26" max="31" width="10.83203125" style="22"/>
    <col min="32" max="32" width="11.33203125" style="22" customWidth="1"/>
    <col min="33" max="33" width="12.6640625" style="22" customWidth="1"/>
    <col min="34" max="34" width="19" style="22" customWidth="1"/>
    <col min="35" max="36" width="13.5" style="22" customWidth="1"/>
    <col min="37" max="37" width="13.5" style="1556" customWidth="1"/>
    <col min="38" max="16384" width="10.83203125" style="22"/>
  </cols>
  <sheetData>
    <row r="1" spans="1:37" s="990" customFormat="1" ht="5.25" customHeight="1">
      <c r="AK1" s="1555"/>
    </row>
    <row r="2" spans="1:37" s="990" customFormat="1" ht="24" customHeight="1">
      <c r="AK2" s="1555"/>
    </row>
    <row r="3" spans="1:37" s="990" customFormat="1" ht="3.75" customHeight="1">
      <c r="Z3" s="991"/>
      <c r="AA3" s="991"/>
      <c r="AB3" s="991"/>
      <c r="AK3" s="1555"/>
    </row>
    <row r="4" spans="1:37" ht="23">
      <c r="C4" s="1748" t="s">
        <v>700</v>
      </c>
      <c r="D4" s="1749"/>
      <c r="E4" s="1749"/>
      <c r="F4" s="1749"/>
      <c r="G4" s="1749"/>
      <c r="H4" s="1749"/>
      <c r="I4" s="1749"/>
      <c r="J4" s="1749"/>
      <c r="K4" s="1749"/>
      <c r="L4" s="1749"/>
      <c r="M4" s="1749"/>
      <c r="N4" s="1749"/>
      <c r="O4" s="1749"/>
      <c r="P4" s="1749"/>
      <c r="Q4" s="1749"/>
      <c r="R4" s="1749"/>
      <c r="S4" s="21"/>
      <c r="T4" s="21"/>
    </row>
    <row r="5" spans="1:37" ht="19.5" customHeight="1">
      <c r="C5" s="1750" t="s">
        <v>97</v>
      </c>
      <c r="D5" s="1751"/>
      <c r="E5" s="1751"/>
      <c r="F5" s="1751"/>
      <c r="G5" s="1751"/>
      <c r="H5" s="1751"/>
      <c r="I5" s="1751"/>
      <c r="J5" s="1751"/>
      <c r="K5" s="1751"/>
      <c r="L5" s="1751"/>
      <c r="M5" s="1751"/>
      <c r="N5" s="1751"/>
      <c r="O5" s="1751"/>
      <c r="P5" s="1751"/>
      <c r="Q5" s="1751"/>
      <c r="R5" s="1751"/>
      <c r="S5" s="24"/>
      <c r="T5" s="24"/>
    </row>
    <row r="6" spans="1:37" ht="13.5" customHeight="1" thickBot="1">
      <c r="C6" s="23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37">
      <c r="C7" s="755"/>
      <c r="D7" s="785"/>
      <c r="E7" s="1763" t="s">
        <v>845</v>
      </c>
      <c r="F7" s="1764"/>
      <c r="G7" s="1764"/>
      <c r="H7" s="1764"/>
      <c r="I7" s="1764"/>
      <c r="J7" s="1764"/>
      <c r="K7" s="1764"/>
      <c r="L7" s="1764"/>
      <c r="M7" s="1764"/>
      <c r="N7" s="1764"/>
      <c r="O7" s="1764"/>
      <c r="P7" s="1764"/>
      <c r="Q7" s="1765"/>
      <c r="R7" s="1764"/>
      <c r="S7" s="1764"/>
      <c r="T7" s="1764"/>
      <c r="U7" s="1764"/>
      <c r="V7" s="1764"/>
      <c r="W7" s="1764"/>
      <c r="X7" s="1764"/>
      <c r="Y7" s="1764"/>
      <c r="Z7" s="1764"/>
      <c r="AA7" s="1764"/>
      <c r="AB7" s="1764"/>
      <c r="AC7" s="1764"/>
      <c r="AD7" s="1764"/>
      <c r="AE7" s="1764"/>
      <c r="AF7" s="1764"/>
      <c r="AG7" s="1764"/>
      <c r="AH7" s="1764"/>
      <c r="AI7" s="1764"/>
      <c r="AJ7" s="1764"/>
      <c r="AK7" s="1557"/>
    </row>
    <row r="8" spans="1:37" ht="15.75" customHeight="1">
      <c r="C8" s="759"/>
      <c r="D8" s="786"/>
      <c r="E8" s="133" t="s">
        <v>157</v>
      </c>
      <c r="F8" s="134" t="s">
        <v>99</v>
      </c>
      <c r="G8" s="135" t="s">
        <v>100</v>
      </c>
      <c r="H8" s="135" t="s">
        <v>82</v>
      </c>
      <c r="I8" s="136" t="s">
        <v>15</v>
      </c>
      <c r="J8" s="760" t="s">
        <v>16</v>
      </c>
      <c r="K8" s="137" t="s">
        <v>17</v>
      </c>
      <c r="L8" s="135" t="s">
        <v>330</v>
      </c>
      <c r="M8" s="761" t="s">
        <v>18</v>
      </c>
      <c r="N8" s="761" t="s">
        <v>101</v>
      </c>
      <c r="O8" s="137" t="s">
        <v>84</v>
      </c>
      <c r="P8" s="137" t="s">
        <v>21</v>
      </c>
      <c r="Q8" s="1507" t="s">
        <v>22</v>
      </c>
      <c r="R8" s="762" t="s">
        <v>102</v>
      </c>
      <c r="S8" s="783" t="s">
        <v>82</v>
      </c>
      <c r="T8" s="1767" t="s">
        <v>536</v>
      </c>
      <c r="U8" s="1736" t="s">
        <v>524</v>
      </c>
      <c r="V8" s="1736" t="s">
        <v>525</v>
      </c>
      <c r="W8" s="1736" t="s">
        <v>526</v>
      </c>
      <c r="X8" s="1736" t="s">
        <v>527</v>
      </c>
      <c r="Y8" s="1738" t="s">
        <v>607</v>
      </c>
      <c r="Z8" s="1740" t="s">
        <v>698</v>
      </c>
      <c r="AA8" s="1742" t="s">
        <v>604</v>
      </c>
      <c r="AB8" s="1742" t="s">
        <v>603</v>
      </c>
      <c r="AC8" s="1745" t="s">
        <v>605</v>
      </c>
      <c r="AD8" s="1738" t="s">
        <v>531</v>
      </c>
      <c r="AE8" s="1736" t="s">
        <v>725</v>
      </c>
      <c r="AF8" s="1740" t="s">
        <v>533</v>
      </c>
      <c r="AG8" s="1740" t="s">
        <v>741</v>
      </c>
      <c r="AH8" s="1746" t="s">
        <v>606</v>
      </c>
      <c r="AI8" s="1740" t="s">
        <v>846</v>
      </c>
      <c r="AJ8" s="1740" t="s">
        <v>847</v>
      </c>
      <c r="AK8" s="1746" t="s">
        <v>1043</v>
      </c>
    </row>
    <row r="9" spans="1:37">
      <c r="C9" s="759"/>
      <c r="D9" s="787"/>
      <c r="E9" s="133"/>
      <c r="F9" s="134"/>
      <c r="G9" s="135"/>
      <c r="H9" s="135" t="s">
        <v>697</v>
      </c>
      <c r="I9" s="136"/>
      <c r="J9" s="137"/>
      <c r="K9" s="137"/>
      <c r="L9" s="135"/>
      <c r="M9" s="761"/>
      <c r="N9" s="761"/>
      <c r="O9" s="137"/>
      <c r="P9" s="137"/>
      <c r="Q9" s="134"/>
      <c r="R9" s="763" t="s">
        <v>103</v>
      </c>
      <c r="S9" s="135" t="s">
        <v>697</v>
      </c>
      <c r="T9" s="1768"/>
      <c r="U9" s="1737"/>
      <c r="V9" s="1737"/>
      <c r="W9" s="1737"/>
      <c r="X9" s="1737"/>
      <c r="Y9" s="1739"/>
      <c r="Z9" s="1741"/>
      <c r="AA9" s="1737"/>
      <c r="AB9" s="1737"/>
      <c r="AC9" s="1743"/>
      <c r="AD9" s="1744"/>
      <c r="AE9" s="1737"/>
      <c r="AF9" s="1743"/>
      <c r="AG9" s="1743"/>
      <c r="AH9" s="1766"/>
      <c r="AI9" s="1743"/>
      <c r="AJ9" s="1743"/>
      <c r="AK9" s="1747"/>
    </row>
    <row r="10" spans="1:37" ht="16.5" customHeight="1">
      <c r="A10" s="22" t="str">
        <f>D10</f>
        <v>alle Ergänzungsfuttermittel mit Phytase!</v>
      </c>
      <c r="C10" s="759" t="s">
        <v>158</v>
      </c>
      <c r="D10" s="788" t="s">
        <v>104</v>
      </c>
      <c r="E10" s="735" t="s">
        <v>105</v>
      </c>
      <c r="F10" s="736" t="s">
        <v>106</v>
      </c>
      <c r="G10" s="737" t="s">
        <v>36</v>
      </c>
      <c r="H10" s="737" t="s">
        <v>37</v>
      </c>
      <c r="I10" s="738" t="s">
        <v>106</v>
      </c>
      <c r="J10" s="739" t="s">
        <v>106</v>
      </c>
      <c r="K10" s="740" t="s">
        <v>106</v>
      </c>
      <c r="L10" s="737" t="s">
        <v>105</v>
      </c>
      <c r="M10" s="741" t="s">
        <v>106</v>
      </c>
      <c r="N10" s="741" t="s">
        <v>106</v>
      </c>
      <c r="O10" s="740" t="s">
        <v>107</v>
      </c>
      <c r="P10" s="740" t="s">
        <v>224</v>
      </c>
      <c r="Q10" s="134" t="s">
        <v>105</v>
      </c>
      <c r="R10" s="764" t="s">
        <v>108</v>
      </c>
      <c r="S10" s="730" t="s">
        <v>37</v>
      </c>
      <c r="T10" s="778" t="s">
        <v>36</v>
      </c>
      <c r="U10" s="732" t="s">
        <v>36</v>
      </c>
      <c r="V10" s="732" t="s">
        <v>36</v>
      </c>
      <c r="W10" s="732" t="s">
        <v>36</v>
      </c>
      <c r="X10" s="732" t="s">
        <v>36</v>
      </c>
      <c r="Y10" s="731" t="s">
        <v>36</v>
      </c>
      <c r="Z10" s="733" t="s">
        <v>36</v>
      </c>
      <c r="AA10" s="732" t="s">
        <v>36</v>
      </c>
      <c r="AB10" s="732" t="s">
        <v>36</v>
      </c>
      <c r="AC10" s="733" t="s">
        <v>36</v>
      </c>
      <c r="AD10" s="731" t="s">
        <v>534</v>
      </c>
      <c r="AE10" s="732" t="s">
        <v>534</v>
      </c>
      <c r="AF10" s="733" t="s">
        <v>377</v>
      </c>
      <c r="AG10" s="733" t="s">
        <v>737</v>
      </c>
      <c r="AH10" s="734" t="s">
        <v>535</v>
      </c>
      <c r="AI10" s="1360" t="s">
        <v>36</v>
      </c>
      <c r="AJ10" s="1361" t="s">
        <v>36</v>
      </c>
      <c r="AK10" s="734" t="s">
        <v>36</v>
      </c>
    </row>
    <row r="11" spans="1:37">
      <c r="A11" s="22" t="str">
        <f t="shared" ref="A11:A19" si="0">IF(D11=""," ",D11)</f>
        <v>Eiweißr. Ergf. für Mastschweine</v>
      </c>
      <c r="C11" s="780">
        <f>COUNTA(E$11:E11)</f>
        <v>1</v>
      </c>
      <c r="D11" s="789" t="s">
        <v>109</v>
      </c>
      <c r="E11" s="138">
        <v>890</v>
      </c>
      <c r="F11" s="139" t="s">
        <v>110</v>
      </c>
      <c r="G11" s="140" t="s">
        <v>111</v>
      </c>
      <c r="H11" s="140" t="s">
        <v>112</v>
      </c>
      <c r="I11" s="765">
        <v>30</v>
      </c>
      <c r="J11" s="766">
        <v>11</v>
      </c>
      <c r="K11" s="141" t="s">
        <v>113</v>
      </c>
      <c r="L11" s="140" t="s">
        <v>114</v>
      </c>
      <c r="M11" s="765" t="s">
        <v>115</v>
      </c>
      <c r="N11" s="765" t="s">
        <v>116</v>
      </c>
      <c r="O11" s="141">
        <v>5.9</v>
      </c>
      <c r="P11" s="141">
        <v>1</v>
      </c>
      <c r="Q11" s="139" t="s">
        <v>117</v>
      </c>
      <c r="R11" s="767" t="s">
        <v>417</v>
      </c>
      <c r="S11" s="836" t="s">
        <v>112</v>
      </c>
      <c r="T11" s="779">
        <f>J11*0.58</f>
        <v>6.38</v>
      </c>
      <c r="U11" s="743"/>
      <c r="V11" s="743"/>
      <c r="W11" s="743"/>
      <c r="X11" s="744">
        <v>125</v>
      </c>
      <c r="Y11" s="743" t="str">
        <f t="shared" ref="Y11:Y20" si="1">IF(U11=""," ",E11-(F11+G11+U11+V11+W11+X11))</f>
        <v xml:space="preserve"> </v>
      </c>
      <c r="Z11" s="743" t="str">
        <f>IF(U11=""," ",E11-(F11+G11+U11+V11+X11))</f>
        <v xml:space="preserve"> </v>
      </c>
      <c r="AA11" s="742"/>
      <c r="AB11" s="743"/>
      <c r="AC11" s="744"/>
      <c r="AD11" s="742">
        <v>23200</v>
      </c>
      <c r="AE11" s="743">
        <v>7100</v>
      </c>
      <c r="AF11" s="743">
        <v>620</v>
      </c>
      <c r="AG11" s="1097">
        <f>IF(M11="","",50*M11+83*P11+26*20/440*F11+44*Q11-59*N11-13*J11-28*(0.93*23*Q11/35.5+P11))</f>
        <v>1573.8746837387962</v>
      </c>
      <c r="AH11" s="1359">
        <f t="shared" ref="AH11:AH26" si="2">IF(M11="","",M11/1000*20140+P11/1000*48600+1100/440*F11)</f>
        <v>1643.08</v>
      </c>
      <c r="AI11" s="1097">
        <f t="shared" ref="AI11:AI17" si="3">IF(G11="","",G11*1.53)</f>
        <v>68.849999999999994</v>
      </c>
      <c r="AJ11" s="1096">
        <f t="shared" ref="AJ11:AJ17" si="4">IF(G11="","",AI11*2.23)</f>
        <v>153.53549999999998</v>
      </c>
      <c r="AK11" s="1558"/>
    </row>
    <row r="12" spans="1:37" ht="14.25" customHeight="1">
      <c r="A12" s="22" t="str">
        <f t="shared" si="0"/>
        <v>Ergf. für tragende Zuchtsauen</v>
      </c>
      <c r="C12" s="759">
        <f>COUNTA(E$11:E12)</f>
        <v>2</v>
      </c>
      <c r="D12" s="789" t="s">
        <v>118</v>
      </c>
      <c r="E12" s="138" t="s">
        <v>119</v>
      </c>
      <c r="F12" s="139" t="s">
        <v>120</v>
      </c>
      <c r="G12" s="140">
        <v>120</v>
      </c>
      <c r="H12" s="140" t="s">
        <v>121</v>
      </c>
      <c r="I12" s="765">
        <v>16</v>
      </c>
      <c r="J12" s="766">
        <v>7</v>
      </c>
      <c r="K12" s="141" t="s">
        <v>122</v>
      </c>
      <c r="L12" s="140" t="s">
        <v>123</v>
      </c>
      <c r="M12" s="765" t="s">
        <v>124</v>
      </c>
      <c r="N12" s="765" t="s">
        <v>125</v>
      </c>
      <c r="O12" s="141">
        <v>5.2</v>
      </c>
      <c r="P12" s="141">
        <v>1</v>
      </c>
      <c r="Q12" s="139" t="s">
        <v>126</v>
      </c>
      <c r="R12" s="767" t="s">
        <v>418</v>
      </c>
      <c r="S12" s="837" t="s">
        <v>121</v>
      </c>
      <c r="T12" s="779">
        <f>J12*0.47</f>
        <v>3.29</v>
      </c>
      <c r="U12" s="743"/>
      <c r="V12" s="743"/>
      <c r="W12" s="743"/>
      <c r="X12" s="744">
        <v>110</v>
      </c>
      <c r="Y12" s="743" t="str">
        <f t="shared" si="1"/>
        <v xml:space="preserve"> </v>
      </c>
      <c r="Z12" s="743" t="str">
        <f>IF(U12=""," ",E12-(F12+G12+U12+V12+X12))</f>
        <v xml:space="preserve"> </v>
      </c>
      <c r="AA12" s="742"/>
      <c r="AB12" s="743"/>
      <c r="AC12" s="744"/>
      <c r="AD12" s="742">
        <v>20000</v>
      </c>
      <c r="AE12" s="743">
        <v>3000</v>
      </c>
      <c r="AF12" s="743">
        <v>240</v>
      </c>
      <c r="AG12" s="1098">
        <f t="shared" ref="AG12:AG26" si="5">IF(M12="","",50*M12+83*P12+26*20/440*F12+44*Q12-59*N12-13*J12-28*(0.93*23*Q12/35.5+P12))</f>
        <v>920.59694750320114</v>
      </c>
      <c r="AH12" s="1235">
        <f t="shared" si="2"/>
        <v>936.47</v>
      </c>
      <c r="AI12" s="1098">
        <f t="shared" si="3"/>
        <v>183.6</v>
      </c>
      <c r="AJ12" s="753">
        <f t="shared" si="4"/>
        <v>409.428</v>
      </c>
      <c r="AK12" s="1558"/>
    </row>
    <row r="13" spans="1:37">
      <c r="A13" s="22" t="str">
        <f t="shared" si="0"/>
        <v>Ergf. für laktierende Zuchtsauen</v>
      </c>
      <c r="C13" s="759">
        <f>COUNTA(E$11:E13)</f>
        <v>3</v>
      </c>
      <c r="D13" s="789" t="s">
        <v>127</v>
      </c>
      <c r="E13" s="138" t="s">
        <v>119</v>
      </c>
      <c r="F13" s="139" t="s">
        <v>128</v>
      </c>
      <c r="G13" s="140">
        <v>100</v>
      </c>
      <c r="H13" s="140" t="s">
        <v>112</v>
      </c>
      <c r="I13" s="765">
        <v>20</v>
      </c>
      <c r="J13" s="766">
        <v>8.6999999999999993</v>
      </c>
      <c r="K13" s="141" t="s">
        <v>130</v>
      </c>
      <c r="L13" s="140" t="s">
        <v>131</v>
      </c>
      <c r="M13" s="765" t="s">
        <v>124</v>
      </c>
      <c r="N13" s="765" t="s">
        <v>132</v>
      </c>
      <c r="O13" s="141">
        <v>5.5</v>
      </c>
      <c r="P13" s="141">
        <v>1</v>
      </c>
      <c r="Q13" s="139" t="s">
        <v>133</v>
      </c>
      <c r="R13" s="767" t="s">
        <v>134</v>
      </c>
      <c r="S13" s="837" t="s">
        <v>112</v>
      </c>
      <c r="T13" s="779">
        <f>J13*0.5</f>
        <v>4.3499999999999996</v>
      </c>
      <c r="U13" s="743"/>
      <c r="V13" s="743"/>
      <c r="W13" s="743"/>
      <c r="X13" s="744">
        <v>110</v>
      </c>
      <c r="Y13" s="743" t="str">
        <f t="shared" si="1"/>
        <v xml:space="preserve"> </v>
      </c>
      <c r="Z13" s="743" t="str">
        <f>IF(U13=""," ",E13-(F13+G13+U13+V13+X13))</f>
        <v xml:space="preserve"> </v>
      </c>
      <c r="AA13" s="742"/>
      <c r="AB13" s="743"/>
      <c r="AC13" s="744"/>
      <c r="AD13" s="742">
        <v>30000</v>
      </c>
      <c r="AE13" s="743">
        <v>4250</v>
      </c>
      <c r="AF13" s="1235">
        <v>340</v>
      </c>
      <c r="AG13" s="1098">
        <f t="shared" si="5"/>
        <v>949.97789500640215</v>
      </c>
      <c r="AH13" s="1235">
        <f t="shared" si="2"/>
        <v>1136.47</v>
      </c>
      <c r="AI13" s="1098">
        <f t="shared" si="3"/>
        <v>153</v>
      </c>
      <c r="AJ13" s="753">
        <f t="shared" si="4"/>
        <v>341.19</v>
      </c>
      <c r="AK13" s="1558"/>
    </row>
    <row r="14" spans="1:37">
      <c r="A14" s="22" t="str">
        <f t="shared" si="0"/>
        <v>Eiweißr. Ergf. für Zuchtsauen</v>
      </c>
      <c r="C14" s="759">
        <f>COUNTA(E$11:E14)</f>
        <v>4</v>
      </c>
      <c r="D14" s="789" t="s">
        <v>135</v>
      </c>
      <c r="E14" s="138" t="s">
        <v>119</v>
      </c>
      <c r="F14" s="139" t="s">
        <v>110</v>
      </c>
      <c r="G14" s="140" t="s">
        <v>111</v>
      </c>
      <c r="H14" s="140" t="s">
        <v>112</v>
      </c>
      <c r="I14" s="765">
        <v>30</v>
      </c>
      <c r="J14" s="766">
        <v>10.7</v>
      </c>
      <c r="K14" s="141" t="s">
        <v>136</v>
      </c>
      <c r="L14" s="140" t="s">
        <v>137</v>
      </c>
      <c r="M14" s="765" t="s">
        <v>46</v>
      </c>
      <c r="N14" s="765" t="s">
        <v>113</v>
      </c>
      <c r="O14" s="141">
        <v>9.6999999999999993</v>
      </c>
      <c r="P14" s="141">
        <v>2</v>
      </c>
      <c r="Q14" s="139" t="s">
        <v>47</v>
      </c>
      <c r="R14" s="768" t="s">
        <v>419</v>
      </c>
      <c r="S14" s="837" t="s">
        <v>112</v>
      </c>
      <c r="T14" s="779">
        <f>J14*0.55</f>
        <v>5.8849999999999998</v>
      </c>
      <c r="U14" s="743"/>
      <c r="V14" s="743"/>
      <c r="W14" s="743"/>
      <c r="X14" s="744">
        <v>140</v>
      </c>
      <c r="Y14" s="743" t="str">
        <f t="shared" si="1"/>
        <v xml:space="preserve"> </v>
      </c>
      <c r="Z14" s="743" t="str">
        <f>IF(U14=""," ",E14-(F14+G14+U14+V14+X14))</f>
        <v xml:space="preserve"> </v>
      </c>
      <c r="AA14" s="742"/>
      <c r="AB14" s="743"/>
      <c r="AC14" s="744"/>
      <c r="AD14" s="742">
        <v>42500</v>
      </c>
      <c r="AE14" s="743">
        <v>6000</v>
      </c>
      <c r="AF14" s="1235">
        <v>480</v>
      </c>
      <c r="AG14" s="1098">
        <f t="shared" si="5"/>
        <v>1831.5230217669655</v>
      </c>
      <c r="AH14" s="1235">
        <f t="shared" si="2"/>
        <v>1872.94</v>
      </c>
      <c r="AI14" s="1098">
        <f t="shared" si="3"/>
        <v>68.849999999999994</v>
      </c>
      <c r="AJ14" s="753">
        <f t="shared" si="4"/>
        <v>153.53549999999998</v>
      </c>
      <c r="AK14" s="1558"/>
    </row>
    <row r="15" spans="1:37">
      <c r="A15" s="22" t="str">
        <f t="shared" si="0"/>
        <v>Ergänzungsfutter für Ferkel</v>
      </c>
      <c r="C15" s="781">
        <f>COUNTA(E$11:E15)</f>
        <v>5</v>
      </c>
      <c r="D15" s="790" t="s">
        <v>138</v>
      </c>
      <c r="E15" s="138" t="s">
        <v>119</v>
      </c>
      <c r="F15" s="142" t="s">
        <v>139</v>
      </c>
      <c r="G15" s="143" t="s">
        <v>111</v>
      </c>
      <c r="H15" s="143" t="s">
        <v>140</v>
      </c>
      <c r="I15" s="144">
        <v>30</v>
      </c>
      <c r="J15" s="145">
        <v>14</v>
      </c>
      <c r="K15" s="146" t="s">
        <v>141</v>
      </c>
      <c r="L15" s="143" t="s">
        <v>142</v>
      </c>
      <c r="M15" s="144" t="s">
        <v>143</v>
      </c>
      <c r="N15" s="144" t="s">
        <v>68</v>
      </c>
      <c r="O15" s="146">
        <v>7.4</v>
      </c>
      <c r="P15" s="146">
        <v>1.3</v>
      </c>
      <c r="Q15" s="142" t="s">
        <v>41</v>
      </c>
      <c r="R15" s="839" t="s">
        <v>420</v>
      </c>
      <c r="S15" s="838" t="s">
        <v>140</v>
      </c>
      <c r="T15" s="779">
        <f>J15*0.62</f>
        <v>8.68</v>
      </c>
      <c r="U15" s="747"/>
      <c r="V15" s="747"/>
      <c r="W15" s="747"/>
      <c r="X15" s="748">
        <v>115</v>
      </c>
      <c r="Y15" s="743" t="str">
        <f t="shared" si="1"/>
        <v xml:space="preserve"> </v>
      </c>
      <c r="Z15" s="743" t="str">
        <f>IF(U15=""," ",E15-(F15+G15+U15+V15+X15))</f>
        <v xml:space="preserve"> </v>
      </c>
      <c r="AA15" s="746"/>
      <c r="AB15" s="747"/>
      <c r="AC15" s="748"/>
      <c r="AD15" s="746">
        <v>30000</v>
      </c>
      <c r="AE15" s="747">
        <v>4000</v>
      </c>
      <c r="AF15" s="747">
        <v>330</v>
      </c>
      <c r="AG15" s="1099">
        <f t="shared" si="5"/>
        <v>815.37969270166479</v>
      </c>
      <c r="AH15" s="1235">
        <f t="shared" si="2"/>
        <v>1281.26</v>
      </c>
      <c r="AI15" s="1099">
        <f t="shared" si="3"/>
        <v>68.849999999999994</v>
      </c>
      <c r="AJ15" s="1363">
        <f t="shared" si="4"/>
        <v>153.53549999999998</v>
      </c>
      <c r="AK15" s="1559"/>
    </row>
    <row r="16" spans="1:37">
      <c r="A16" s="22" t="str">
        <f t="shared" si="0"/>
        <v xml:space="preserve"> </v>
      </c>
      <c r="C16" s="759">
        <f>COUNTA(E$11:E16)</f>
        <v>6</v>
      </c>
      <c r="D16" s="835"/>
      <c r="E16" s="147">
        <v>890</v>
      </c>
      <c r="F16" s="147"/>
      <c r="G16" s="147"/>
      <c r="H16" s="809" t="str">
        <f>IF(F16=""," ",$F16*0.021503+0.032497*$U16+0.016309*$V16+0.014701*$Z16-0.021071*$G16)</f>
        <v xml:space="preserve"> </v>
      </c>
      <c r="I16" s="147"/>
      <c r="J16" s="148"/>
      <c r="K16" s="147"/>
      <c r="L16" s="147"/>
      <c r="M16" s="147"/>
      <c r="N16" s="147"/>
      <c r="O16" s="1091">
        <f t="shared" ref="O16:O26" si="6">IF(N16="",0,N16*0.65)</f>
        <v>0</v>
      </c>
      <c r="P16" s="147"/>
      <c r="Q16" s="1508"/>
      <c r="R16" s="840"/>
      <c r="S16" s="809" t="str">
        <f t="shared" ref="S16:S26" si="7">IF(U16=""," ",$F16*0.021503+0.032497*$U16+0.016309*$V16+0.014701*$Z16-0.021071*$G16)</f>
        <v xml:space="preserve"> </v>
      </c>
      <c r="T16" s="1095"/>
      <c r="U16" s="754"/>
      <c r="V16" s="751"/>
      <c r="W16" s="751"/>
      <c r="X16" s="751"/>
      <c r="Y16" s="842" t="str">
        <f t="shared" si="1"/>
        <v xml:space="preserve"> </v>
      </c>
      <c r="Z16" s="842" t="str">
        <f>IF(F16=""," ",E16-(F16+G16+U16+V16+X16))</f>
        <v xml:space="preserve"> </v>
      </c>
      <c r="AA16" s="751"/>
      <c r="AB16" s="751"/>
      <c r="AC16" s="751"/>
      <c r="AD16" s="751"/>
      <c r="AE16" s="751"/>
      <c r="AF16" s="751"/>
      <c r="AG16" s="1244" t="str">
        <f t="shared" si="5"/>
        <v/>
      </c>
      <c r="AH16" s="1244" t="str">
        <f t="shared" si="2"/>
        <v/>
      </c>
      <c r="AI16" s="1362" t="str">
        <f t="shared" si="3"/>
        <v/>
      </c>
      <c r="AJ16" s="1362" t="str">
        <f t="shared" si="4"/>
        <v/>
      </c>
      <c r="AK16" s="1362" t="str">
        <f>IF(F16="","",E16-G16-F16-U16-X16)</f>
        <v/>
      </c>
    </row>
    <row r="17" spans="1:37">
      <c r="A17" s="22" t="str">
        <f t="shared" si="0"/>
        <v xml:space="preserve"> </v>
      </c>
      <c r="C17" s="759">
        <f>COUNTA(E$11:E17)</f>
        <v>7</v>
      </c>
      <c r="D17" s="835"/>
      <c r="E17" s="147">
        <v>890</v>
      </c>
      <c r="F17" s="147"/>
      <c r="G17" s="147"/>
      <c r="H17" s="809" t="str">
        <f t="shared" ref="H17:H26" si="8">IF(F17=""," ",$F17*0.021503+0.032497*$U17+0.016309*$V17+0.014701*$Z17-0.021071*$G17)</f>
        <v xml:space="preserve"> </v>
      </c>
      <c r="I17" s="147"/>
      <c r="J17" s="148"/>
      <c r="K17" s="147"/>
      <c r="L17" s="147"/>
      <c r="M17" s="147"/>
      <c r="N17" s="147"/>
      <c r="O17" s="1091">
        <f t="shared" si="6"/>
        <v>0</v>
      </c>
      <c r="P17" s="147"/>
      <c r="Q17" s="147"/>
      <c r="R17" s="840"/>
      <c r="S17" s="810" t="str">
        <f t="shared" si="7"/>
        <v xml:space="preserve"> </v>
      </c>
      <c r="T17" s="1095"/>
      <c r="U17" s="754"/>
      <c r="V17" s="751"/>
      <c r="W17" s="751"/>
      <c r="X17" s="751"/>
      <c r="Y17" s="842" t="str">
        <f t="shared" si="1"/>
        <v xml:space="preserve"> </v>
      </c>
      <c r="Z17" s="842" t="str">
        <f t="shared" ref="Z17:Z26" si="9">IF(F17=""," ",E17-(F17+G17+U17+V17+X17))</f>
        <v xml:space="preserve"> </v>
      </c>
      <c r="AA17" s="751"/>
      <c r="AB17" s="751"/>
      <c r="AC17" s="751"/>
      <c r="AD17" s="751"/>
      <c r="AE17" s="751"/>
      <c r="AF17" s="751"/>
      <c r="AG17" s="1244" t="str">
        <f t="shared" si="5"/>
        <v/>
      </c>
      <c r="AH17" s="1244" t="str">
        <f t="shared" si="2"/>
        <v/>
      </c>
      <c r="AI17" s="1244" t="str">
        <f t="shared" si="3"/>
        <v/>
      </c>
      <c r="AJ17" s="1244" t="str">
        <f t="shared" si="4"/>
        <v/>
      </c>
      <c r="AK17" s="1244" t="str">
        <f t="shared" ref="AK17:AK26" si="10">IF(F17="","",E17-G17-F17-U17-X17)</f>
        <v/>
      </c>
    </row>
    <row r="18" spans="1:37">
      <c r="A18" s="22" t="str">
        <f t="shared" si="0"/>
        <v xml:space="preserve"> </v>
      </c>
      <c r="C18" s="759">
        <f>COUNTA(E$11:E18)</f>
        <v>8</v>
      </c>
      <c r="D18" s="835"/>
      <c r="E18" s="147">
        <v>890</v>
      </c>
      <c r="F18" s="147"/>
      <c r="G18" s="147"/>
      <c r="H18" s="809" t="str">
        <f t="shared" si="8"/>
        <v xml:space="preserve"> </v>
      </c>
      <c r="I18" s="147"/>
      <c r="J18" s="148"/>
      <c r="K18" s="147"/>
      <c r="L18" s="147"/>
      <c r="M18" s="147"/>
      <c r="N18" s="147"/>
      <c r="O18" s="1091">
        <f t="shared" si="6"/>
        <v>0</v>
      </c>
      <c r="P18" s="147"/>
      <c r="Q18" s="147"/>
      <c r="R18" s="840"/>
      <c r="S18" s="810" t="str">
        <f t="shared" si="7"/>
        <v xml:space="preserve"> </v>
      </c>
      <c r="T18" s="1095"/>
      <c r="U18" s="754"/>
      <c r="V18" s="751"/>
      <c r="W18" s="751"/>
      <c r="X18" s="751"/>
      <c r="Y18" s="842" t="str">
        <f t="shared" si="1"/>
        <v xml:space="preserve"> </v>
      </c>
      <c r="Z18" s="842" t="str">
        <f t="shared" si="9"/>
        <v xml:space="preserve"> </v>
      </c>
      <c r="AA18" s="751"/>
      <c r="AB18" s="751"/>
      <c r="AC18" s="751"/>
      <c r="AD18" s="751"/>
      <c r="AE18" s="751"/>
      <c r="AF18" s="751"/>
      <c r="AG18" s="1244" t="str">
        <f t="shared" si="5"/>
        <v/>
      </c>
      <c r="AH18" s="1244" t="str">
        <f t="shared" si="2"/>
        <v/>
      </c>
      <c r="AI18" s="1244" t="str">
        <f t="shared" ref="AI18:AI26" si="11">IF(G18="","",G18*1.53)</f>
        <v/>
      </c>
      <c r="AJ18" s="1244" t="str">
        <f t="shared" ref="AJ18:AJ26" si="12">IF(G18="","",AI18*2.23)</f>
        <v/>
      </c>
      <c r="AK18" s="1244" t="str">
        <f t="shared" si="10"/>
        <v/>
      </c>
    </row>
    <row r="19" spans="1:37">
      <c r="A19" s="22" t="str">
        <f t="shared" si="0"/>
        <v xml:space="preserve"> </v>
      </c>
      <c r="C19" s="759">
        <f>COUNTA(E$11:E19)</f>
        <v>9</v>
      </c>
      <c r="D19" s="835"/>
      <c r="E19" s="147">
        <v>890</v>
      </c>
      <c r="F19" s="147"/>
      <c r="G19" s="147"/>
      <c r="H19" s="809" t="str">
        <f t="shared" si="8"/>
        <v xml:space="preserve"> </v>
      </c>
      <c r="I19" s="147"/>
      <c r="J19" s="148"/>
      <c r="K19" s="147"/>
      <c r="L19" s="147"/>
      <c r="M19" s="147"/>
      <c r="N19" s="147"/>
      <c r="O19" s="1091">
        <f t="shared" si="6"/>
        <v>0</v>
      </c>
      <c r="P19" s="147"/>
      <c r="Q19" s="147"/>
      <c r="R19" s="840"/>
      <c r="S19" s="810" t="str">
        <f t="shared" si="7"/>
        <v xml:space="preserve"> </v>
      </c>
      <c r="T19" s="1095"/>
      <c r="U19" s="754"/>
      <c r="V19" s="751"/>
      <c r="W19" s="751"/>
      <c r="X19" s="751"/>
      <c r="Y19" s="842" t="str">
        <f t="shared" si="1"/>
        <v xml:space="preserve"> </v>
      </c>
      <c r="Z19" s="842" t="str">
        <f t="shared" si="9"/>
        <v xml:space="preserve"> </v>
      </c>
      <c r="AA19" s="751"/>
      <c r="AB19" s="751"/>
      <c r="AC19" s="751"/>
      <c r="AD19" s="751"/>
      <c r="AE19" s="751"/>
      <c r="AF19" s="751"/>
      <c r="AG19" s="1244" t="str">
        <f t="shared" si="5"/>
        <v/>
      </c>
      <c r="AH19" s="1244" t="str">
        <f t="shared" si="2"/>
        <v/>
      </c>
      <c r="AI19" s="1244" t="str">
        <f t="shared" si="11"/>
        <v/>
      </c>
      <c r="AJ19" s="1244" t="str">
        <f t="shared" si="12"/>
        <v/>
      </c>
      <c r="AK19" s="1244" t="str">
        <f t="shared" si="10"/>
        <v/>
      </c>
    </row>
    <row r="20" spans="1:37">
      <c r="A20" s="22" t="str">
        <f>IF(D20=""," ",D20)</f>
        <v xml:space="preserve"> </v>
      </c>
      <c r="C20" s="759">
        <f>COUNTA(E$11:E20)</f>
        <v>10</v>
      </c>
      <c r="D20" s="835"/>
      <c r="E20" s="147">
        <v>890</v>
      </c>
      <c r="F20" s="147"/>
      <c r="G20" s="147"/>
      <c r="H20" s="809" t="str">
        <f t="shared" si="8"/>
        <v xml:space="preserve"> </v>
      </c>
      <c r="I20" s="147"/>
      <c r="J20" s="148"/>
      <c r="K20" s="147"/>
      <c r="L20" s="147"/>
      <c r="M20" s="147"/>
      <c r="N20" s="147"/>
      <c r="O20" s="1091">
        <f t="shared" si="6"/>
        <v>0</v>
      </c>
      <c r="P20" s="147"/>
      <c r="Q20" s="147"/>
      <c r="R20" s="840"/>
      <c r="S20" s="810" t="str">
        <f t="shared" si="7"/>
        <v xml:space="preserve"> </v>
      </c>
      <c r="T20" s="1095"/>
      <c r="U20" s="754"/>
      <c r="V20" s="751"/>
      <c r="W20" s="751"/>
      <c r="X20" s="751"/>
      <c r="Y20" s="842" t="str">
        <f t="shared" si="1"/>
        <v xml:space="preserve"> </v>
      </c>
      <c r="Z20" s="842" t="str">
        <f t="shared" si="9"/>
        <v xml:space="preserve"> </v>
      </c>
      <c r="AA20" s="751"/>
      <c r="AB20" s="751"/>
      <c r="AC20" s="751"/>
      <c r="AD20" s="751"/>
      <c r="AE20" s="751"/>
      <c r="AF20" s="751"/>
      <c r="AG20" s="1244" t="str">
        <f t="shared" si="5"/>
        <v/>
      </c>
      <c r="AH20" s="1244" t="str">
        <f t="shared" si="2"/>
        <v/>
      </c>
      <c r="AI20" s="1244" t="str">
        <f t="shared" si="11"/>
        <v/>
      </c>
      <c r="AJ20" s="1244" t="str">
        <f t="shared" si="12"/>
        <v/>
      </c>
      <c r="AK20" s="1244" t="str">
        <f t="shared" si="10"/>
        <v/>
      </c>
    </row>
    <row r="21" spans="1:37">
      <c r="C21" s="759">
        <f>COUNTA(E$11:E21)</f>
        <v>11</v>
      </c>
      <c r="D21" s="835"/>
      <c r="E21" s="147">
        <v>890</v>
      </c>
      <c r="F21" s="147"/>
      <c r="G21" s="147"/>
      <c r="H21" s="809" t="str">
        <f>IF(F21=""," ",$F21*0.021503+0.032497*$U21+0.016309*$V21+0.014701*$Z21-0.021071*$G21)</f>
        <v xml:space="preserve"> </v>
      </c>
      <c r="I21" s="147"/>
      <c r="J21" s="148"/>
      <c r="K21" s="147"/>
      <c r="L21" s="147"/>
      <c r="M21" s="147"/>
      <c r="N21" s="147"/>
      <c r="O21" s="1091">
        <f t="shared" si="6"/>
        <v>0</v>
      </c>
      <c r="P21" s="147"/>
      <c r="Q21" s="147"/>
      <c r="R21" s="840"/>
      <c r="S21" s="810" t="str">
        <f>IF(U21=""," ",$F21*0.021503+0.032497*$U21+0.016309*$V21+0.014701*$Z21-0.021071*$G21)</f>
        <v xml:space="preserve"> </v>
      </c>
      <c r="T21" s="1095"/>
      <c r="U21" s="754"/>
      <c r="V21" s="751"/>
      <c r="W21" s="751"/>
      <c r="X21" s="751"/>
      <c r="Y21" s="842" t="str">
        <f t="shared" ref="Y21:Y26" si="13">IF(U21=""," ",E21-(F21+G21+U21+V21+W21+X21))</f>
        <v xml:space="preserve"> </v>
      </c>
      <c r="Z21" s="842" t="str">
        <f>IF(F21=""," ",E21-(F21+G21+U21+V21+X21))</f>
        <v xml:space="preserve"> </v>
      </c>
      <c r="AA21" s="751"/>
      <c r="AB21" s="751"/>
      <c r="AC21" s="751"/>
      <c r="AD21" s="751"/>
      <c r="AE21" s="751"/>
      <c r="AF21" s="751"/>
      <c r="AG21" s="1244" t="str">
        <f>IF(M21="","",50*M21+83*P21+26*20/440*F21+44*Q21-59*N21-13*J21-28*(0.93*23*Q21/35.5+P21))</f>
        <v/>
      </c>
      <c r="AH21" s="1244" t="str">
        <f>IF(M21="","",M21/1000*20140+P21/1000*48600+1100/440*F21)</f>
        <v/>
      </c>
      <c r="AI21" s="1244" t="str">
        <f>IF(G21="","",G21*1.53)</f>
        <v/>
      </c>
      <c r="AJ21" s="1244" t="str">
        <f>IF(G21="","",AI21*2.23)</f>
        <v/>
      </c>
      <c r="AK21" s="1244" t="str">
        <f t="shared" si="10"/>
        <v/>
      </c>
    </row>
    <row r="22" spans="1:37">
      <c r="C22" s="759">
        <f>COUNTA(E$11:E22)</f>
        <v>12</v>
      </c>
      <c r="D22" s="835"/>
      <c r="E22" s="147">
        <v>890</v>
      </c>
      <c r="F22" s="147"/>
      <c r="G22" s="147"/>
      <c r="H22" s="809" t="str">
        <f>IF(F22=""," ",$F22*0.021503+0.032497*$U22+0.016309*$V22+0.014701*$Z22-0.021071*$G22)</f>
        <v xml:space="preserve"> </v>
      </c>
      <c r="I22" s="147"/>
      <c r="J22" s="148"/>
      <c r="K22" s="147"/>
      <c r="L22" s="147"/>
      <c r="M22" s="147"/>
      <c r="N22" s="147"/>
      <c r="O22" s="1091">
        <f t="shared" si="6"/>
        <v>0</v>
      </c>
      <c r="P22" s="147"/>
      <c r="Q22" s="147"/>
      <c r="R22" s="840"/>
      <c r="S22" s="810" t="str">
        <f>IF(U22=""," ",$F22*0.021503+0.032497*$U22+0.016309*$V22+0.014701*$Z22-0.021071*$G22)</f>
        <v xml:space="preserve"> </v>
      </c>
      <c r="T22" s="1095"/>
      <c r="U22" s="754"/>
      <c r="V22" s="751"/>
      <c r="W22" s="751"/>
      <c r="X22" s="751"/>
      <c r="Y22" s="842" t="str">
        <f t="shared" si="13"/>
        <v xml:space="preserve"> </v>
      </c>
      <c r="Z22" s="842" t="str">
        <f>IF(F22=""," ",E22-(F22+G22+U22+V22+X22))</f>
        <v xml:space="preserve"> </v>
      </c>
      <c r="AA22" s="751"/>
      <c r="AB22" s="751"/>
      <c r="AC22" s="751"/>
      <c r="AD22" s="751"/>
      <c r="AE22" s="751"/>
      <c r="AF22" s="751"/>
      <c r="AG22" s="1244" t="str">
        <f>IF(M22="","",50*M22+83*P22+26*20/440*F22+44*Q22-59*N22-13*J22-28*(0.93*23*Q22/35.5+P22))</f>
        <v/>
      </c>
      <c r="AH22" s="1244" t="str">
        <f>IF(M22="","",M22/1000*20140+P22/1000*48600+1100/440*F22)</f>
        <v/>
      </c>
      <c r="AI22" s="1244" t="str">
        <f>IF(G22="","",G22*1.53)</f>
        <v/>
      </c>
      <c r="AJ22" s="1244" t="str">
        <f>IF(G22="","",AI22*2.23)</f>
        <v/>
      </c>
      <c r="AK22" s="1244" t="str">
        <f t="shared" si="10"/>
        <v/>
      </c>
    </row>
    <row r="23" spans="1:37">
      <c r="C23" s="759">
        <f>COUNTA(E$11:E23)</f>
        <v>13</v>
      </c>
      <c r="D23" s="835"/>
      <c r="E23" s="147">
        <v>890</v>
      </c>
      <c r="F23" s="147"/>
      <c r="G23" s="147"/>
      <c r="H23" s="809" t="str">
        <f>IF(F23=""," ",$F23*0.021503+0.032497*$U23+0.016309*$V23+0.014701*$Z23-0.021071*$G23)</f>
        <v xml:space="preserve"> </v>
      </c>
      <c r="I23" s="147"/>
      <c r="J23" s="148"/>
      <c r="K23" s="147"/>
      <c r="L23" s="147"/>
      <c r="M23" s="147"/>
      <c r="N23" s="147"/>
      <c r="O23" s="1091">
        <f t="shared" si="6"/>
        <v>0</v>
      </c>
      <c r="P23" s="147"/>
      <c r="Q23" s="147"/>
      <c r="R23" s="840"/>
      <c r="S23" s="810" t="str">
        <f>IF(U23=""," ",$F23*0.021503+0.032497*$U23+0.016309*$V23+0.014701*$Z23-0.021071*$G23)</f>
        <v xml:space="preserve"> </v>
      </c>
      <c r="T23" s="1095"/>
      <c r="U23" s="754"/>
      <c r="V23" s="751"/>
      <c r="W23" s="751"/>
      <c r="X23" s="751"/>
      <c r="Y23" s="842" t="str">
        <f t="shared" si="13"/>
        <v xml:space="preserve"> </v>
      </c>
      <c r="Z23" s="842" t="str">
        <f>IF(F23=""," ",E23-(F23+G23+U23+V23+X23))</f>
        <v xml:space="preserve"> </v>
      </c>
      <c r="AA23" s="751"/>
      <c r="AB23" s="751"/>
      <c r="AC23" s="751"/>
      <c r="AD23" s="751"/>
      <c r="AE23" s="751"/>
      <c r="AF23" s="751"/>
      <c r="AG23" s="1244" t="str">
        <f>IF(M23="","",50*M23+83*P23+26*20/440*F23+44*Q23-59*N23-13*J23-28*(0.93*23*Q23/35.5+P23))</f>
        <v/>
      </c>
      <c r="AH23" s="1244" t="str">
        <f>IF(M23="","",M23/1000*20140+P23/1000*48600+1100/440*F23)</f>
        <v/>
      </c>
      <c r="AI23" s="1244" t="str">
        <f>IF(G23="","",G23*1.53)</f>
        <v/>
      </c>
      <c r="AJ23" s="1244" t="str">
        <f>IF(G23="","",AI23*2.23)</f>
        <v/>
      </c>
      <c r="AK23" s="1244" t="str">
        <f t="shared" si="10"/>
        <v/>
      </c>
    </row>
    <row r="24" spans="1:37">
      <c r="C24" s="759">
        <f>COUNTA(E$11:E24)</f>
        <v>14</v>
      </c>
      <c r="D24" s="835"/>
      <c r="E24" s="147">
        <v>890</v>
      </c>
      <c r="F24" s="147"/>
      <c r="G24" s="147"/>
      <c r="H24" s="809" t="str">
        <f>IF(F24=""," ",$F24*0.021503+0.032497*$U24+0.016309*$V24+0.014701*$Z24-0.021071*$G24)</f>
        <v xml:space="preserve"> </v>
      </c>
      <c r="I24" s="147"/>
      <c r="J24" s="148"/>
      <c r="K24" s="147"/>
      <c r="L24" s="147"/>
      <c r="M24" s="147"/>
      <c r="N24" s="147"/>
      <c r="O24" s="1091">
        <f t="shared" si="6"/>
        <v>0</v>
      </c>
      <c r="P24" s="147"/>
      <c r="Q24" s="147"/>
      <c r="R24" s="840"/>
      <c r="S24" s="810" t="str">
        <f>IF(U24=""," ",$F24*0.021503+0.032497*$U24+0.016309*$V24+0.014701*$Z24-0.021071*$G24)</f>
        <v xml:space="preserve"> </v>
      </c>
      <c r="T24" s="1095"/>
      <c r="U24" s="754"/>
      <c r="V24" s="751"/>
      <c r="W24" s="751"/>
      <c r="X24" s="751"/>
      <c r="Y24" s="842" t="str">
        <f t="shared" si="13"/>
        <v xml:space="preserve"> </v>
      </c>
      <c r="Z24" s="842" t="str">
        <f>IF(F24=""," ",E24-(F24+G24+U24+V24+X24))</f>
        <v xml:space="preserve"> </v>
      </c>
      <c r="AA24" s="751"/>
      <c r="AB24" s="751"/>
      <c r="AC24" s="751"/>
      <c r="AD24" s="751"/>
      <c r="AE24" s="751"/>
      <c r="AF24" s="751"/>
      <c r="AG24" s="1244" t="str">
        <f>IF(M24="","",50*M24+83*P24+26*20/440*F24+44*Q24-59*N24-13*J24-28*(0.93*23*Q24/35.5+P24))</f>
        <v/>
      </c>
      <c r="AH24" s="1244" t="str">
        <f>IF(M24="","",M24/1000*20140+P24/1000*48600+1100/440*F24)</f>
        <v/>
      </c>
      <c r="AI24" s="1244" t="str">
        <f>IF(G24="","",G24*1.53)</f>
        <v/>
      </c>
      <c r="AJ24" s="1244" t="str">
        <f>IF(G24="","",AI24*2.23)</f>
        <v/>
      </c>
      <c r="AK24" s="1244" t="str">
        <f t="shared" si="10"/>
        <v/>
      </c>
    </row>
    <row r="25" spans="1:37">
      <c r="C25" s="759">
        <f>COUNTA(E$11:E25)</f>
        <v>15</v>
      </c>
      <c r="D25" s="835"/>
      <c r="E25" s="147">
        <v>890</v>
      </c>
      <c r="F25" s="147"/>
      <c r="G25" s="147"/>
      <c r="H25" s="809" t="str">
        <f>IF(F25=""," ",$F25*0.021503+0.032497*$U25+0.016309*$V25+0.014701*$Z25-0.021071*$G25)</f>
        <v xml:space="preserve"> </v>
      </c>
      <c r="I25" s="147"/>
      <c r="J25" s="148"/>
      <c r="K25" s="147"/>
      <c r="L25" s="147"/>
      <c r="M25" s="147"/>
      <c r="N25" s="147"/>
      <c r="O25" s="1091">
        <f t="shared" si="6"/>
        <v>0</v>
      </c>
      <c r="P25" s="147"/>
      <c r="Q25" s="147"/>
      <c r="R25" s="840"/>
      <c r="S25" s="810" t="str">
        <f>IF(U25=""," ",$F25*0.021503+0.032497*$U25+0.016309*$V25+0.014701*$Z25-0.021071*$G25)</f>
        <v xml:space="preserve"> </v>
      </c>
      <c r="T25" s="1095"/>
      <c r="U25" s="754"/>
      <c r="V25" s="751"/>
      <c r="W25" s="751"/>
      <c r="X25" s="751"/>
      <c r="Y25" s="842" t="str">
        <f t="shared" si="13"/>
        <v xml:space="preserve"> </v>
      </c>
      <c r="Z25" s="842" t="str">
        <f>IF(F25=""," ",E25-(F25+G25+U25+V25+X25))</f>
        <v xml:space="preserve"> </v>
      </c>
      <c r="AA25" s="751"/>
      <c r="AB25" s="751"/>
      <c r="AC25" s="751"/>
      <c r="AD25" s="751"/>
      <c r="AE25" s="751"/>
      <c r="AF25" s="751"/>
      <c r="AG25" s="1244" t="str">
        <f>IF(M25="","",50*M25+83*P25+26*20/440*F25+44*Q25-59*N25-13*J25-28*(0.93*23*Q25/35.5+P25))</f>
        <v/>
      </c>
      <c r="AH25" s="1244" t="str">
        <f>IF(M25="","",M25/1000*20140+P25/1000*48600+1100/440*F25)</f>
        <v/>
      </c>
      <c r="AI25" s="1244" t="str">
        <f>IF(G25="","",G25*1.53)</f>
        <v/>
      </c>
      <c r="AJ25" s="1244" t="str">
        <f>IF(G25="","",AI25*2.23)</f>
        <v/>
      </c>
      <c r="AK25" s="1244" t="str">
        <f t="shared" si="10"/>
        <v/>
      </c>
    </row>
    <row r="26" spans="1:37" ht="16" thickBot="1">
      <c r="A26" s="22" t="str">
        <f>IF(D26=""," ",D26)</f>
        <v xml:space="preserve"> </v>
      </c>
      <c r="C26" s="782">
        <f>COUNTA(E$11:E26)</f>
        <v>16</v>
      </c>
      <c r="D26" s="1140"/>
      <c r="E26" s="1141">
        <v>890</v>
      </c>
      <c r="F26" s="1141"/>
      <c r="G26" s="1141"/>
      <c r="H26" s="1331" t="str">
        <f t="shared" si="8"/>
        <v xml:space="preserve"> </v>
      </c>
      <c r="I26" s="1141"/>
      <c r="J26" s="1142"/>
      <c r="K26" s="1141"/>
      <c r="L26" s="1141"/>
      <c r="M26" s="1141"/>
      <c r="N26" s="1141"/>
      <c r="O26" s="1143">
        <f t="shared" si="6"/>
        <v>0</v>
      </c>
      <c r="P26" s="1141"/>
      <c r="Q26" s="1141"/>
      <c r="R26" s="1144"/>
      <c r="S26" s="810" t="str">
        <f t="shared" si="7"/>
        <v xml:space="preserve"> </v>
      </c>
      <c r="T26" s="1095"/>
      <c r="U26" s="754"/>
      <c r="V26" s="751"/>
      <c r="W26" s="751"/>
      <c r="X26" s="751"/>
      <c r="Y26" s="842" t="str">
        <f t="shared" si="13"/>
        <v xml:space="preserve"> </v>
      </c>
      <c r="Z26" s="842" t="str">
        <f t="shared" si="9"/>
        <v xml:space="preserve"> </v>
      </c>
      <c r="AA26" s="751"/>
      <c r="AB26" s="751"/>
      <c r="AC26" s="751"/>
      <c r="AD26" s="751"/>
      <c r="AE26" s="751"/>
      <c r="AF26" s="751"/>
      <c r="AG26" s="1244" t="str">
        <f t="shared" si="5"/>
        <v/>
      </c>
      <c r="AH26" s="1244" t="str">
        <f t="shared" si="2"/>
        <v/>
      </c>
      <c r="AI26" s="1244" t="str">
        <f t="shared" si="11"/>
        <v/>
      </c>
      <c r="AJ26" s="1244" t="str">
        <f t="shared" si="12"/>
        <v/>
      </c>
      <c r="AK26" s="1244" t="str">
        <f t="shared" si="10"/>
        <v/>
      </c>
    </row>
    <row r="27" spans="1:37" s="1007" customFormat="1">
      <c r="C27" s="1008"/>
      <c r="D27" s="1009"/>
      <c r="E27" s="1010"/>
      <c r="F27" s="1011"/>
      <c r="G27" s="1012"/>
      <c r="H27" s="1013"/>
      <c r="I27" s="1009"/>
      <c r="J27" s="1009"/>
      <c r="K27" s="1009"/>
      <c r="L27" s="1009"/>
      <c r="M27" s="1009"/>
      <c r="N27" s="1009"/>
      <c r="O27" s="1011"/>
      <c r="P27" s="1009"/>
      <c r="Q27" s="1009"/>
      <c r="R27" s="1014"/>
      <c r="S27" s="1013"/>
      <c r="T27" s="1011"/>
      <c r="U27" s="1015"/>
      <c r="V27" s="1015"/>
      <c r="W27" s="1015"/>
      <c r="X27" s="1015"/>
      <c r="Y27" s="1015"/>
      <c r="Z27" s="1015"/>
      <c r="AA27" s="1016"/>
      <c r="AB27" s="1016"/>
      <c r="AC27" s="1016"/>
      <c r="AD27" s="1016"/>
      <c r="AE27" s="1016"/>
      <c r="AF27" s="1016"/>
      <c r="AG27" s="1016"/>
      <c r="AH27" s="1016"/>
      <c r="AI27" s="1016"/>
      <c r="AJ27" s="1016"/>
      <c r="AK27" s="1560"/>
    </row>
    <row r="28" spans="1:37" s="28" customFormat="1">
      <c r="C28" s="26"/>
      <c r="D28" s="27" t="s">
        <v>154</v>
      </c>
      <c r="AK28" s="1557"/>
    </row>
    <row r="29" spans="1:37" s="28" customFormat="1">
      <c r="C29" s="26"/>
      <c r="D29" s="27" t="s">
        <v>155</v>
      </c>
      <c r="AK29" s="1557"/>
    </row>
    <row r="30" spans="1:37" s="28" customFormat="1">
      <c r="C30" s="26"/>
      <c r="D30" s="27"/>
      <c r="AK30" s="1557"/>
    </row>
    <row r="31" spans="1:37" s="28" customFormat="1" ht="23">
      <c r="C31" s="1759" t="s">
        <v>856</v>
      </c>
      <c r="D31" s="1760"/>
      <c r="E31" s="1760"/>
      <c r="F31" s="1760"/>
      <c r="G31" s="1760"/>
      <c r="H31" s="1760"/>
      <c r="I31" s="1760"/>
      <c r="J31" s="1760"/>
      <c r="K31" s="1760"/>
      <c r="L31" s="1760"/>
      <c r="M31" s="1760"/>
      <c r="N31" s="1760"/>
      <c r="O31" s="1760"/>
      <c r="P31" s="1760"/>
      <c r="Q31" s="1760"/>
      <c r="R31" s="1760"/>
      <c r="AK31" s="1557"/>
    </row>
    <row r="32" spans="1:37" s="28" customFormat="1" ht="5" customHeight="1" thickBot="1">
      <c r="C32" s="26"/>
      <c r="AK32" s="1557"/>
    </row>
    <row r="33" spans="3:20">
      <c r="C33" s="1757" t="s">
        <v>1029</v>
      </c>
      <c r="D33" s="1755"/>
      <c r="E33" s="1755"/>
      <c r="F33" s="1755"/>
      <c r="G33" s="1755"/>
      <c r="H33" s="1755"/>
      <c r="I33" s="1758"/>
      <c r="J33" s="1754" t="s">
        <v>1030</v>
      </c>
      <c r="K33" s="1755"/>
      <c r="L33" s="1755"/>
      <c r="M33" s="1755"/>
      <c r="N33" s="1755"/>
      <c r="O33" s="1755"/>
      <c r="P33" s="1755"/>
      <c r="Q33" s="1755"/>
      <c r="R33" s="1756"/>
      <c r="S33" s="28"/>
      <c r="T33" s="28"/>
    </row>
    <row r="34" spans="3:20">
      <c r="C34" s="1336"/>
      <c r="D34" s="1752" t="s">
        <v>702</v>
      </c>
      <c r="E34" s="1753"/>
      <c r="F34" s="1753"/>
      <c r="G34" s="1753"/>
      <c r="H34" s="1753"/>
      <c r="I34" s="1337"/>
      <c r="J34" s="1338"/>
      <c r="K34" s="1337"/>
      <c r="L34" s="1337"/>
      <c r="M34" s="1337"/>
      <c r="N34" s="1337"/>
      <c r="O34" s="1337"/>
      <c r="P34" s="1761" t="s">
        <v>857</v>
      </c>
      <c r="Q34" s="1762"/>
      <c r="R34" s="1343" t="s">
        <v>453</v>
      </c>
      <c r="S34" s="28"/>
      <c r="T34" s="28"/>
    </row>
    <row r="35" spans="3:20" ht="18">
      <c r="C35" s="1336"/>
      <c r="D35" s="1337" t="s">
        <v>1031</v>
      </c>
      <c r="E35" s="1339" t="s">
        <v>214</v>
      </c>
      <c r="F35" s="1337" t="s">
        <v>1038</v>
      </c>
      <c r="G35" s="1337"/>
      <c r="H35" s="1337"/>
      <c r="I35" s="1337"/>
      <c r="J35" s="1340" t="s">
        <v>1035</v>
      </c>
      <c r="K35" s="1337"/>
      <c r="L35" s="1337"/>
      <c r="M35" s="1337"/>
      <c r="N35" s="1341"/>
      <c r="O35" s="1339" t="s">
        <v>214</v>
      </c>
      <c r="P35" s="1342" t="s">
        <v>854</v>
      </c>
      <c r="Q35" s="1339"/>
      <c r="R35" s="1343" t="s">
        <v>858</v>
      </c>
      <c r="S35" s="777"/>
      <c r="T35" s="777"/>
    </row>
    <row r="36" spans="3:20" ht="18">
      <c r="C36" s="1336"/>
      <c r="D36" s="1337" t="s">
        <v>1032</v>
      </c>
      <c r="E36" s="1339" t="s">
        <v>214</v>
      </c>
      <c r="F36" s="1337" t="s">
        <v>1039</v>
      </c>
      <c r="G36" s="1337"/>
      <c r="H36" s="1337"/>
      <c r="I36" s="1337"/>
      <c r="J36" s="1340" t="s">
        <v>1036</v>
      </c>
      <c r="K36" s="1337"/>
      <c r="L36" s="1337"/>
      <c r="M36" s="1337"/>
      <c r="N36" s="1341"/>
      <c r="O36" s="1339" t="s">
        <v>214</v>
      </c>
      <c r="P36" s="1342" t="s">
        <v>1041</v>
      </c>
      <c r="Q36" s="1339"/>
      <c r="R36" s="1343" t="s">
        <v>1042</v>
      </c>
      <c r="S36" s="777"/>
      <c r="T36" s="777"/>
    </row>
    <row r="37" spans="3:20" ht="18">
      <c r="C37" s="1336"/>
      <c r="D37" s="1337" t="s">
        <v>1033</v>
      </c>
      <c r="E37" s="1339" t="s">
        <v>214</v>
      </c>
      <c r="F37" s="1337" t="s">
        <v>701</v>
      </c>
      <c r="G37" s="1337"/>
      <c r="H37" s="1337"/>
      <c r="I37" s="1337"/>
      <c r="J37" s="1340" t="s">
        <v>855</v>
      </c>
      <c r="K37" s="1337"/>
      <c r="L37" s="1337"/>
      <c r="M37" s="1337"/>
      <c r="N37" s="1341"/>
      <c r="O37" s="1339" t="s">
        <v>214</v>
      </c>
      <c r="P37" s="1342" t="s">
        <v>156</v>
      </c>
      <c r="Q37" s="1339"/>
      <c r="R37" s="1343" t="s">
        <v>859</v>
      </c>
      <c r="S37" s="777"/>
      <c r="T37" s="777"/>
    </row>
    <row r="38" spans="3:20" ht="18">
      <c r="C38" s="1336"/>
      <c r="D38" s="1337" t="s">
        <v>1034</v>
      </c>
      <c r="E38" s="1339" t="s">
        <v>214</v>
      </c>
      <c r="F38" s="1337" t="s">
        <v>1040</v>
      </c>
      <c r="G38" s="1337"/>
      <c r="H38" s="1337"/>
      <c r="I38" s="1337"/>
      <c r="J38" s="1340" t="s">
        <v>1037</v>
      </c>
      <c r="K38" s="1337"/>
      <c r="L38" s="1337"/>
      <c r="M38" s="1337"/>
      <c r="N38" s="1341"/>
      <c r="O38" s="1339" t="s">
        <v>214</v>
      </c>
      <c r="P38" s="1342" t="s">
        <v>323</v>
      </c>
      <c r="Q38" s="1339"/>
      <c r="R38" s="1343" t="s">
        <v>860</v>
      </c>
      <c r="S38" s="777"/>
      <c r="T38" s="777"/>
    </row>
    <row r="39" spans="3:20" ht="5.25" customHeight="1" thickBot="1">
      <c r="C39" s="773"/>
      <c r="D39" s="774"/>
      <c r="E39" s="774"/>
      <c r="F39" s="774"/>
      <c r="G39" s="774"/>
      <c r="H39" s="774"/>
      <c r="I39" s="774"/>
      <c r="J39" s="775"/>
      <c r="K39" s="774"/>
      <c r="L39" s="774"/>
      <c r="M39" s="774"/>
      <c r="N39" s="774"/>
      <c r="O39" s="774"/>
      <c r="P39" s="774"/>
      <c r="Q39" s="774"/>
      <c r="R39" s="776"/>
      <c r="S39" s="28"/>
      <c r="T39" s="28"/>
    </row>
    <row r="40" spans="3:20">
      <c r="C40" s="2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3:20"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4" spans="3:20">
      <c r="E44" s="25"/>
      <c r="F44" s="25"/>
      <c r="G44" s="25"/>
      <c r="H44" s="25"/>
      <c r="I44" s="25"/>
      <c r="J44" s="28"/>
    </row>
    <row r="45" spans="3:20">
      <c r="E45" s="25"/>
      <c r="F45" s="25"/>
      <c r="G45" s="25"/>
      <c r="H45" s="25"/>
      <c r="I45" s="25"/>
      <c r="J45" s="28"/>
    </row>
    <row r="46" spans="3:20">
      <c r="E46" s="25"/>
      <c r="F46" s="25"/>
      <c r="G46" s="25"/>
      <c r="H46" s="25"/>
      <c r="I46" s="25"/>
      <c r="J46" s="28"/>
    </row>
    <row r="47" spans="3:20">
      <c r="E47" s="25"/>
      <c r="F47" s="25"/>
      <c r="G47" s="25"/>
      <c r="H47" s="25"/>
      <c r="I47" s="25"/>
      <c r="J47" s="28"/>
    </row>
    <row r="48" spans="3:20">
      <c r="E48" s="25"/>
      <c r="F48" s="25"/>
      <c r="G48" s="25"/>
      <c r="H48" s="25"/>
      <c r="I48" s="25"/>
      <c r="J48" s="28"/>
    </row>
  </sheetData>
  <sheetProtection sheet="1" objects="1" scenarios="1" selectLockedCells="1"/>
  <customSheetViews>
    <customSheetView guid="{459F3284-99E1-4A46-80B6-CF44B0CB392E}" scale="86" fitToPage="1" hiddenColumns="1">
      <pane xSplit="2" ySplit="7" topLeftCell="C8" activePane="bottomRight" state="frozenSplit"/>
      <selection pane="bottomRight" activeCell="C13" sqref="C13"/>
      <printOptions horizontalCentered="1" verticalCentered="1"/>
      <pageSetup paperSize="9" scale="66" orientation="landscape"/>
      <headerFooter alignWithMargins="0"/>
    </customSheetView>
  </customSheetViews>
  <mergeCells count="26">
    <mergeCell ref="AK8:AK9"/>
    <mergeCell ref="C4:R4"/>
    <mergeCell ref="C5:R5"/>
    <mergeCell ref="X8:X9"/>
    <mergeCell ref="D34:H34"/>
    <mergeCell ref="J33:R33"/>
    <mergeCell ref="C33:I33"/>
    <mergeCell ref="U8:U9"/>
    <mergeCell ref="C31:R31"/>
    <mergeCell ref="P34:Q34"/>
    <mergeCell ref="AI8:AI9"/>
    <mergeCell ref="AJ8:AJ9"/>
    <mergeCell ref="E7:AJ7"/>
    <mergeCell ref="AG8:AG9"/>
    <mergeCell ref="AH8:AH9"/>
    <mergeCell ref="T8:T9"/>
    <mergeCell ref="AB8:AB9"/>
    <mergeCell ref="AF8:AF9"/>
    <mergeCell ref="AD8:AD9"/>
    <mergeCell ref="AE8:AE9"/>
    <mergeCell ref="AC8:AC9"/>
    <mergeCell ref="V8:V9"/>
    <mergeCell ref="W8:W9"/>
    <mergeCell ref="Y8:Y9"/>
    <mergeCell ref="Z8:Z9"/>
    <mergeCell ref="AA8:AA9"/>
  </mergeCells>
  <phoneticPr fontId="2" type="noConversion"/>
  <conditionalFormatting sqref="O16:O27">
    <cfRule type="cellIs" dxfId="3" priority="2" stopIfTrue="1" operator="equal">
      <formula>0</formula>
    </cfRule>
  </conditionalFormatting>
  <conditionalFormatting sqref="T27">
    <cfRule type="cellIs" dxfId="2" priority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3" name="Button 2">
              <controlPr defaultSize="0" print="0" autoFill="0" autoPict="0" macro="[0]!Startseite">
                <anchor moveWithCells="1">
                  <from>
                    <xdr:col>3</xdr:col>
                    <xdr:colOff>25400</xdr:colOff>
                    <xdr:row>1</xdr:row>
                    <xdr:rowOff>12700</xdr:rowOff>
                  </from>
                  <to>
                    <xdr:col>3</xdr:col>
                    <xdr:colOff>1727200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Futterberechnung">
                <anchor moveWithCells="1">
                  <from>
                    <xdr:col>4</xdr:col>
                    <xdr:colOff>342900</xdr:colOff>
                    <xdr:row>1</xdr:row>
                    <xdr:rowOff>12700</xdr:rowOff>
                  </from>
                  <to>
                    <xdr:col>7</xdr:col>
                    <xdr:colOff>508000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FuMi_Liste">
                <anchor moveWithCells="1">
                  <from>
                    <xdr:col>10</xdr:col>
                    <xdr:colOff>101600</xdr:colOff>
                    <xdr:row>1</xdr:row>
                    <xdr:rowOff>0</xdr:rowOff>
                  </from>
                  <to>
                    <xdr:col>13</xdr:col>
                    <xdr:colOff>254000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4" r:id="rId6" name="Button 6">
              <controlPr defaultSize="0" print="0" autoFill="0" autoPict="0" macro="[0]!einfügen_Ergänzer">
                <anchor moveWithCells="1">
                  <from>
                    <xdr:col>15</xdr:col>
                    <xdr:colOff>317500</xdr:colOff>
                    <xdr:row>1</xdr:row>
                    <xdr:rowOff>12700</xdr:rowOff>
                  </from>
                  <to>
                    <xdr:col>17</xdr:col>
                    <xdr:colOff>977900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 enableFormatConditionsCalculation="0">
    <tabColor theme="6" tint="-0.499984740745262"/>
    <pageSetUpPr fitToPage="1"/>
  </sheetPr>
  <dimension ref="A1:AH40"/>
  <sheetViews>
    <sheetView showGridLines="0" showRowColHeaders="0" zoomScale="86" workbookViewId="0">
      <pane xSplit="4" ySplit="10" topLeftCell="E11" activePane="bottomRight" state="frozen"/>
      <selection activeCell="AG22" sqref="AG22"/>
      <selection pane="topRight" activeCell="AG22" sqref="AG22"/>
      <selection pane="bottomLeft" activeCell="AG22" sqref="AG22"/>
      <selection pane="bottomRight" activeCell="M16" sqref="M16"/>
    </sheetView>
  </sheetViews>
  <sheetFormatPr baseColWidth="10" defaultRowHeight="15" x14ac:dyDescent="0"/>
  <cols>
    <col min="1" max="1" width="38.33203125" style="22" hidden="1" customWidth="1"/>
    <col min="2" max="2" width="1.33203125" style="22" customWidth="1"/>
    <col min="3" max="3" width="5.6640625" style="30" customWidth="1"/>
    <col min="4" max="4" width="54" style="22" customWidth="1"/>
    <col min="5" max="6" width="7.6640625" style="22" customWidth="1"/>
    <col min="7" max="7" width="7.6640625" style="22" hidden="1" customWidth="1"/>
    <col min="8" max="15" width="7.6640625" style="22" customWidth="1"/>
    <col min="16" max="17" width="7.6640625" style="25" customWidth="1"/>
    <col min="18" max="18" width="17.33203125" style="25" customWidth="1"/>
    <col min="19" max="20" width="11.33203125" style="25" hidden="1" customWidth="1"/>
    <col min="21" max="23" width="0" style="22" hidden="1" customWidth="1"/>
    <col min="24" max="24" width="10.83203125" style="22"/>
    <col min="25" max="29" width="0" style="22" hidden="1" customWidth="1"/>
    <col min="30" max="31" width="10.83203125" style="22"/>
    <col min="32" max="32" width="11.33203125" style="22" customWidth="1"/>
    <col min="33" max="33" width="13.1640625" style="22" customWidth="1"/>
    <col min="34" max="34" width="19" style="22" customWidth="1"/>
    <col min="35" max="16384" width="10.83203125" style="22"/>
  </cols>
  <sheetData>
    <row r="1" spans="1:34" s="990" customFormat="1" ht="5.25" customHeight="1"/>
    <row r="2" spans="1:34" s="990" customFormat="1" ht="24" customHeight="1"/>
    <row r="3" spans="1:34" s="990" customFormat="1" ht="3.75" customHeight="1">
      <c r="Z3" s="991"/>
      <c r="AA3" s="991"/>
      <c r="AB3" s="991"/>
    </row>
    <row r="4" spans="1:34" ht="23">
      <c r="C4" s="1748" t="s">
        <v>703</v>
      </c>
      <c r="D4" s="1749"/>
      <c r="E4" s="1749"/>
      <c r="F4" s="1749"/>
      <c r="G4" s="1749"/>
      <c r="H4" s="1749"/>
      <c r="I4" s="1749"/>
      <c r="J4" s="1749"/>
      <c r="K4" s="1749"/>
      <c r="L4" s="1749"/>
      <c r="M4" s="1749"/>
      <c r="N4" s="1749"/>
      <c r="O4" s="1749"/>
      <c r="P4" s="1749"/>
      <c r="Q4" s="1749"/>
      <c r="R4" s="1749"/>
      <c r="S4" s="21"/>
      <c r="T4" s="21"/>
    </row>
    <row r="5" spans="1:34" ht="19.5" customHeight="1">
      <c r="C5" s="1750" t="s">
        <v>97</v>
      </c>
      <c r="D5" s="1751"/>
      <c r="E5" s="1751"/>
      <c r="F5" s="1751"/>
      <c r="G5" s="1751"/>
      <c r="H5" s="1751"/>
      <c r="I5" s="1751"/>
      <c r="J5" s="1751"/>
      <c r="K5" s="1751"/>
      <c r="L5" s="1751"/>
      <c r="M5" s="1751"/>
      <c r="N5" s="1751"/>
      <c r="O5" s="1751"/>
      <c r="P5" s="1751"/>
      <c r="Q5" s="1751"/>
      <c r="R5" s="1751"/>
      <c r="S5" s="24"/>
      <c r="T5" s="24"/>
    </row>
    <row r="6" spans="1:34" ht="13.5" customHeight="1" thickBot="1">
      <c r="C6" s="23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34">
      <c r="C7" s="1134"/>
      <c r="D7" s="1128"/>
      <c r="E7" s="756" t="s">
        <v>98</v>
      </c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1506"/>
      <c r="R7" s="758"/>
      <c r="S7" s="1769" t="s">
        <v>98</v>
      </c>
      <c r="T7" s="1770"/>
      <c r="U7" s="1770"/>
      <c r="V7" s="1770"/>
      <c r="W7" s="1770"/>
      <c r="X7" s="1770"/>
      <c r="Y7" s="1770"/>
      <c r="Z7" s="1770"/>
      <c r="AA7" s="1770"/>
      <c r="AB7" s="1770"/>
      <c r="AC7" s="1770"/>
      <c r="AD7" s="1770"/>
      <c r="AE7" s="1770"/>
      <c r="AF7" s="1770"/>
      <c r="AG7" s="1770"/>
      <c r="AH7" s="1771"/>
    </row>
    <row r="8" spans="1:34" ht="15.75" customHeight="1">
      <c r="C8" s="1135"/>
      <c r="D8" s="1129"/>
      <c r="E8" s="133" t="s">
        <v>157</v>
      </c>
      <c r="F8" s="134" t="s">
        <v>99</v>
      </c>
      <c r="G8" s="135" t="s">
        <v>100</v>
      </c>
      <c r="H8" s="135" t="s">
        <v>82</v>
      </c>
      <c r="I8" s="136" t="s">
        <v>15</v>
      </c>
      <c r="J8" s="760" t="s">
        <v>600</v>
      </c>
      <c r="K8" s="137" t="s">
        <v>17</v>
      </c>
      <c r="L8" s="135" t="s">
        <v>330</v>
      </c>
      <c r="M8" s="761" t="s">
        <v>18</v>
      </c>
      <c r="N8" s="761" t="s">
        <v>101</v>
      </c>
      <c r="O8" s="137" t="s">
        <v>84</v>
      </c>
      <c r="P8" s="137" t="s">
        <v>21</v>
      </c>
      <c r="Q8" s="1507" t="s">
        <v>22</v>
      </c>
      <c r="R8" s="762" t="s">
        <v>102</v>
      </c>
      <c r="S8" s="783" t="s">
        <v>82</v>
      </c>
      <c r="T8" s="1767" t="s">
        <v>536</v>
      </c>
      <c r="U8" s="1736" t="s">
        <v>524</v>
      </c>
      <c r="V8" s="1736" t="s">
        <v>525</v>
      </c>
      <c r="W8" s="1736" t="s">
        <v>526</v>
      </c>
      <c r="X8" s="1736" t="s">
        <v>527</v>
      </c>
      <c r="Y8" s="1738" t="s">
        <v>607</v>
      </c>
      <c r="Z8" s="1740" t="s">
        <v>698</v>
      </c>
      <c r="AA8" s="1742" t="s">
        <v>604</v>
      </c>
      <c r="AB8" s="1742" t="s">
        <v>603</v>
      </c>
      <c r="AC8" s="1745" t="s">
        <v>605</v>
      </c>
      <c r="AD8" s="1738" t="s">
        <v>531</v>
      </c>
      <c r="AE8" s="1736" t="s">
        <v>725</v>
      </c>
      <c r="AF8" s="1740" t="s">
        <v>533</v>
      </c>
      <c r="AG8" s="1740" t="s">
        <v>741</v>
      </c>
      <c r="AH8" s="1746" t="s">
        <v>606</v>
      </c>
    </row>
    <row r="9" spans="1:34">
      <c r="C9" s="1135"/>
      <c r="D9" s="1130"/>
      <c r="E9" s="133"/>
      <c r="F9" s="134"/>
      <c r="G9" s="135"/>
      <c r="H9" s="135" t="s">
        <v>705</v>
      </c>
      <c r="I9" s="136"/>
      <c r="J9" s="137"/>
      <c r="K9" s="137"/>
      <c r="L9" s="135"/>
      <c r="M9" s="761"/>
      <c r="N9" s="761"/>
      <c r="O9" s="137"/>
      <c r="P9" s="137"/>
      <c r="Q9" s="134"/>
      <c r="R9" s="763" t="s">
        <v>103</v>
      </c>
      <c r="S9" s="135" t="s">
        <v>697</v>
      </c>
      <c r="T9" s="1768"/>
      <c r="U9" s="1737"/>
      <c r="V9" s="1737"/>
      <c r="W9" s="1737"/>
      <c r="X9" s="1737"/>
      <c r="Y9" s="1739"/>
      <c r="Z9" s="1741"/>
      <c r="AA9" s="1737"/>
      <c r="AB9" s="1737"/>
      <c r="AC9" s="1743"/>
      <c r="AD9" s="1744"/>
      <c r="AE9" s="1737"/>
      <c r="AF9" s="1743"/>
      <c r="AG9" s="1743"/>
      <c r="AH9" s="1766"/>
    </row>
    <row r="10" spans="1:34" ht="16.5" customHeight="1">
      <c r="C10" s="1135" t="s">
        <v>158</v>
      </c>
      <c r="D10" s="1131"/>
      <c r="E10" s="735" t="s">
        <v>105</v>
      </c>
      <c r="F10" s="736" t="s">
        <v>106</v>
      </c>
      <c r="G10" s="737" t="s">
        <v>36</v>
      </c>
      <c r="H10" s="737" t="s">
        <v>37</v>
      </c>
      <c r="I10" s="738" t="s">
        <v>106</v>
      </c>
      <c r="J10" s="739" t="s">
        <v>106</v>
      </c>
      <c r="K10" s="740" t="s">
        <v>106</v>
      </c>
      <c r="L10" s="737" t="s">
        <v>105</v>
      </c>
      <c r="M10" s="741" t="s">
        <v>106</v>
      </c>
      <c r="N10" s="741" t="s">
        <v>106</v>
      </c>
      <c r="O10" s="740" t="s">
        <v>107</v>
      </c>
      <c r="P10" s="740" t="s">
        <v>224</v>
      </c>
      <c r="Q10" s="134" t="s">
        <v>105</v>
      </c>
      <c r="R10" s="764" t="s">
        <v>108</v>
      </c>
      <c r="S10" s="730" t="s">
        <v>37</v>
      </c>
      <c r="T10" s="778" t="s">
        <v>36</v>
      </c>
      <c r="U10" s="732" t="s">
        <v>36</v>
      </c>
      <c r="V10" s="732" t="s">
        <v>36</v>
      </c>
      <c r="W10" s="732" t="s">
        <v>36</v>
      </c>
      <c r="X10" s="732" t="s">
        <v>36</v>
      </c>
      <c r="Y10" s="731" t="s">
        <v>36</v>
      </c>
      <c r="Z10" s="733" t="s">
        <v>36</v>
      </c>
      <c r="AA10" s="732" t="s">
        <v>36</v>
      </c>
      <c r="AB10" s="732" t="s">
        <v>36</v>
      </c>
      <c r="AC10" s="733" t="s">
        <v>36</v>
      </c>
      <c r="AD10" s="731" t="s">
        <v>534</v>
      </c>
      <c r="AE10" s="732" t="s">
        <v>534</v>
      </c>
      <c r="AF10" s="733" t="s">
        <v>377</v>
      </c>
      <c r="AG10" s="733" t="s">
        <v>737</v>
      </c>
      <c r="AH10" s="734" t="s">
        <v>535</v>
      </c>
    </row>
    <row r="11" spans="1:34">
      <c r="A11" s="22" t="str">
        <f t="shared" ref="A11:A17" si="0">IF(D11=""," ",D11)</f>
        <v>Mineralfutter für Mastschweine ***</v>
      </c>
      <c r="C11" s="1136">
        <f>COUNTA(E$11:E11)</f>
        <v>1</v>
      </c>
      <c r="D11" s="1132" t="s">
        <v>144</v>
      </c>
      <c r="E11" s="138" t="s">
        <v>145</v>
      </c>
      <c r="F11" s="1078">
        <f t="shared" ref="F11:F17" si="1">IF(M11=0," ",I11*954/780+J11*584/990+K11*731/980+L11*853/980)</f>
        <v>102.48675530818387</v>
      </c>
      <c r="G11" s="140">
        <v>0</v>
      </c>
      <c r="H11" s="779">
        <f t="shared" ref="H11:H17" si="2">IF(M11=0," ",I11*19.56/780+J11*11.97/990+K11*14.99/980+L11*17.49/980)</f>
        <v>2.1012569573283857</v>
      </c>
      <c r="I11" s="765">
        <v>65</v>
      </c>
      <c r="J11" s="766">
        <v>20</v>
      </c>
      <c r="K11" s="141">
        <v>15</v>
      </c>
      <c r="L11" s="140">
        <v>0</v>
      </c>
      <c r="M11" s="765" t="s">
        <v>147</v>
      </c>
      <c r="N11" s="765" t="s">
        <v>134</v>
      </c>
      <c r="O11" s="141">
        <v>32</v>
      </c>
      <c r="P11" s="141">
        <v>7</v>
      </c>
      <c r="Q11" s="139" t="s">
        <v>148</v>
      </c>
      <c r="R11" s="768" t="s">
        <v>421</v>
      </c>
      <c r="S11" s="1074">
        <f t="shared" ref="S11:S15" si="3">IF(N11=0," ",I11*20.51/780+J11*12.56/990+K11*15.72/980+L11*18.34/980)</f>
        <v>2.2035162853019998</v>
      </c>
      <c r="T11" s="864">
        <f>J11</f>
        <v>20</v>
      </c>
      <c r="U11" s="750"/>
      <c r="V11" s="750"/>
      <c r="W11" s="750"/>
      <c r="X11" s="745">
        <v>760</v>
      </c>
      <c r="Y11" s="750"/>
      <c r="Z11" s="750"/>
      <c r="AA11" s="749"/>
      <c r="AB11" s="750"/>
      <c r="AC11" s="745"/>
      <c r="AD11" s="749">
        <v>185500</v>
      </c>
      <c r="AE11" s="750">
        <v>40000</v>
      </c>
      <c r="AF11" s="745">
        <v>2000</v>
      </c>
      <c r="AG11" s="1233">
        <f t="shared" ref="AG11:AG13" si="4">IF(M11="","",50*M11+83*P11+44*Q11-59*N11-13*J11-28*(0.93*23*Q11/35.5+P11))</f>
        <v>10121.450704225352</v>
      </c>
      <c r="AH11" s="1097">
        <f t="shared" ref="AH11:AH24" si="5">IF(M11="","",M11/1000*20140+P11/1000*48600+1100/440*F11)</f>
        <v>5027.21688827046</v>
      </c>
    </row>
    <row r="12" spans="1:34">
      <c r="A12" s="22" t="str">
        <f t="shared" si="0"/>
        <v>Mineralfutter für Ferkel ***</v>
      </c>
      <c r="C12" s="1135">
        <f>COUNTA(E$11:E12)</f>
        <v>2</v>
      </c>
      <c r="D12" s="1132" t="s">
        <v>149</v>
      </c>
      <c r="E12" s="138" t="s">
        <v>145</v>
      </c>
      <c r="F12" s="1078">
        <f t="shared" si="1"/>
        <v>132.20230721659291</v>
      </c>
      <c r="G12" s="140">
        <v>0</v>
      </c>
      <c r="H12" s="779">
        <f t="shared" si="2"/>
        <v>2.710493363779078</v>
      </c>
      <c r="I12" s="765">
        <v>80</v>
      </c>
      <c r="J12" s="766">
        <v>30</v>
      </c>
      <c r="K12" s="141" t="s">
        <v>129</v>
      </c>
      <c r="L12" s="140" t="s">
        <v>43</v>
      </c>
      <c r="M12" s="765" t="s">
        <v>150</v>
      </c>
      <c r="N12" s="765" t="s">
        <v>134</v>
      </c>
      <c r="O12" s="141" t="s">
        <v>151</v>
      </c>
      <c r="P12" s="141">
        <v>10</v>
      </c>
      <c r="Q12" s="139" t="s">
        <v>111</v>
      </c>
      <c r="R12" s="768" t="s">
        <v>422</v>
      </c>
      <c r="S12" s="1074">
        <f t="shared" si="3"/>
        <v>2.8424407021549882</v>
      </c>
      <c r="T12" s="864">
        <f>J12</f>
        <v>30</v>
      </c>
      <c r="U12" s="743"/>
      <c r="V12" s="743"/>
      <c r="W12" s="743"/>
      <c r="X12" s="744">
        <v>630</v>
      </c>
      <c r="Y12" s="743"/>
      <c r="Z12" s="743"/>
      <c r="AA12" s="742"/>
      <c r="AB12" s="743"/>
      <c r="AC12" s="744"/>
      <c r="AD12" s="742">
        <v>320000</v>
      </c>
      <c r="AE12" s="743">
        <v>40000</v>
      </c>
      <c r="AF12" s="744">
        <v>2000</v>
      </c>
      <c r="AG12" s="1234">
        <f t="shared" si="4"/>
        <v>7520.8056338028164</v>
      </c>
      <c r="AH12" s="1098">
        <f t="shared" si="5"/>
        <v>4240.3057680414822</v>
      </c>
    </row>
    <row r="13" spans="1:34">
      <c r="A13" s="22" t="str">
        <f t="shared" si="0"/>
        <v>Mineralfutter für Zuchtsauen ***</v>
      </c>
      <c r="C13" s="1137">
        <f>COUNTA(E$11:E13)</f>
        <v>3</v>
      </c>
      <c r="D13" s="1133" t="s">
        <v>152</v>
      </c>
      <c r="E13" s="149" t="s">
        <v>145</v>
      </c>
      <c r="F13" s="1078">
        <f t="shared" si="1"/>
        <v>80.411009625295335</v>
      </c>
      <c r="G13" s="143">
        <v>0</v>
      </c>
      <c r="H13" s="779">
        <f t="shared" si="2"/>
        <v>1.6486235193378049</v>
      </c>
      <c r="I13" s="144">
        <v>50</v>
      </c>
      <c r="J13" s="145">
        <v>20</v>
      </c>
      <c r="K13" s="146">
        <v>10</v>
      </c>
      <c r="L13" s="143">
        <v>0</v>
      </c>
      <c r="M13" s="144" t="s">
        <v>153</v>
      </c>
      <c r="N13" s="144" t="s">
        <v>148</v>
      </c>
      <c r="O13" s="146">
        <v>40</v>
      </c>
      <c r="P13" s="146">
        <v>10</v>
      </c>
      <c r="Q13" s="142" t="s">
        <v>53</v>
      </c>
      <c r="R13" s="768" t="s">
        <v>423</v>
      </c>
      <c r="S13" s="1074">
        <f t="shared" si="3"/>
        <v>1.7288891267462696</v>
      </c>
      <c r="T13" s="864">
        <f>J13</f>
        <v>20</v>
      </c>
      <c r="U13" s="747"/>
      <c r="V13" s="747"/>
      <c r="W13" s="747"/>
      <c r="X13" s="748">
        <v>790</v>
      </c>
      <c r="Y13" s="747"/>
      <c r="Z13" s="747"/>
      <c r="AA13" s="746"/>
      <c r="AB13" s="747"/>
      <c r="AC13" s="748"/>
      <c r="AD13" s="746">
        <v>300000</v>
      </c>
      <c r="AE13" s="747">
        <v>50000</v>
      </c>
      <c r="AF13" s="748">
        <v>2500</v>
      </c>
      <c r="AG13" s="1234">
        <f t="shared" si="4"/>
        <v>9332.0957746478871</v>
      </c>
      <c r="AH13" s="1099">
        <f t="shared" si="5"/>
        <v>4916.4275240632378</v>
      </c>
    </row>
    <row r="14" spans="1:34">
      <c r="A14" s="22" t="str">
        <f t="shared" ref="A14:A15" si="6">IF(D14=""," ",D14)</f>
        <v>Viehsalz (NaCl)</v>
      </c>
      <c r="C14" s="1135">
        <f>COUNTA(E$11:E14)</f>
        <v>4</v>
      </c>
      <c r="D14" s="1127" t="s">
        <v>966</v>
      </c>
      <c r="E14" s="150">
        <v>960</v>
      </c>
      <c r="F14" s="207"/>
      <c r="G14" s="152"/>
      <c r="H14" s="208"/>
      <c r="I14" s="150"/>
      <c r="J14" s="151"/>
      <c r="K14" s="150"/>
      <c r="L14" s="150"/>
      <c r="M14" s="150"/>
      <c r="N14" s="150"/>
      <c r="O14" s="1092">
        <f t="shared" ref="O14" si="7">IF(N14="",0,N14*0.8)</f>
        <v>0</v>
      </c>
      <c r="P14" s="150"/>
      <c r="Q14" s="150">
        <f>E14*400/1000</f>
        <v>384</v>
      </c>
      <c r="R14" s="841"/>
      <c r="S14" s="784" t="str">
        <f t="shared" si="3"/>
        <v xml:space="preserve"> </v>
      </c>
      <c r="T14" s="865">
        <f t="shared" ref="T14" si="8">IF(J14="",0,J14)</f>
        <v>0</v>
      </c>
      <c r="U14" s="987"/>
      <c r="V14" s="842"/>
      <c r="W14" s="842"/>
      <c r="X14" s="1094">
        <v>960</v>
      </c>
      <c r="Y14" s="842"/>
      <c r="Z14" s="842"/>
      <c r="AA14" s="751"/>
      <c r="AB14" s="751"/>
      <c r="AC14" s="751"/>
      <c r="AD14" s="751"/>
      <c r="AE14" s="751"/>
      <c r="AF14" s="751"/>
      <c r="AG14" s="1243">
        <v>-147</v>
      </c>
      <c r="AH14" s="1243">
        <v>0</v>
      </c>
    </row>
    <row r="15" spans="1:34">
      <c r="A15" s="22" t="str">
        <f t="shared" si="6"/>
        <v>Optimales MinFu AM 850g TZ 3,5% + Phytase</v>
      </c>
      <c r="C15" s="1135">
        <f>COUNTA(E$11:E15)</f>
        <v>5</v>
      </c>
      <c r="D15" s="1127" t="s">
        <v>849</v>
      </c>
      <c r="E15" s="150">
        <v>960</v>
      </c>
      <c r="F15" s="207">
        <f t="shared" ref="F15" si="9">IF(M15=0," ",I15*954/780+J15*584/990+K15*731/980+L15*853/980)</f>
        <v>139.50706515706517</v>
      </c>
      <c r="G15" s="152">
        <v>0</v>
      </c>
      <c r="H15" s="208">
        <f t="shared" ref="H15" si="10">IF(M15=0," ",I15*19.56/780+J15*11.97/990+K15*14.99/980+L15*17.49/980)</f>
        <v>2.86035014985015</v>
      </c>
      <c r="I15" s="150">
        <v>85</v>
      </c>
      <c r="J15" s="151">
        <v>16</v>
      </c>
      <c r="K15" s="150">
        <v>35</v>
      </c>
      <c r="L15" s="150"/>
      <c r="M15" s="150">
        <v>145</v>
      </c>
      <c r="N15" s="150">
        <v>10</v>
      </c>
      <c r="O15" s="1092">
        <f>IF(N15="",0,N15*0.8)</f>
        <v>8</v>
      </c>
      <c r="P15" s="150"/>
      <c r="Q15" s="150">
        <v>50</v>
      </c>
      <c r="R15" s="841" t="s">
        <v>848</v>
      </c>
      <c r="S15" s="784">
        <f t="shared" si="3"/>
        <v>2.9994825729825734</v>
      </c>
      <c r="T15" s="865">
        <f>IF(J15="",0,J15)</f>
        <v>16</v>
      </c>
      <c r="U15" s="987"/>
      <c r="V15" s="842"/>
      <c r="W15" s="842"/>
      <c r="X15" s="1094">
        <v>715</v>
      </c>
      <c r="Y15" s="842"/>
      <c r="Z15" s="842"/>
      <c r="AA15" s="751"/>
      <c r="AB15" s="751"/>
      <c r="AC15" s="751"/>
      <c r="AD15" s="1364">
        <v>173000</v>
      </c>
      <c r="AE15" s="1364">
        <v>43250</v>
      </c>
      <c r="AF15" s="1364">
        <v>1750</v>
      </c>
      <c r="AG15" s="1243">
        <f t="shared" ref="AG15" si="11">IF(M15="","",50*M15+83*P15+44*Q15-59*N15-13*J15-28*(0.93*23*Q15/35.5+P15))</f>
        <v>7808.4507042253517</v>
      </c>
      <c r="AH15" s="1243">
        <f t="shared" si="5"/>
        <v>3269.0676628926626</v>
      </c>
    </row>
    <row r="16" spans="1:34">
      <c r="A16" s="22" t="str">
        <f t="shared" si="0"/>
        <v xml:space="preserve"> </v>
      </c>
      <c r="C16" s="1135">
        <f>COUNTA(E$11:E16)</f>
        <v>6</v>
      </c>
      <c r="D16" s="1127"/>
      <c r="E16" s="150">
        <v>960</v>
      </c>
      <c r="F16" s="207" t="str">
        <f t="shared" ref="F16" si="12">IF(M16=0," ",I16*954/780+J16*584/990+K16*731/980+L16*853/980)</f>
        <v xml:space="preserve"> </v>
      </c>
      <c r="G16" s="152">
        <v>0</v>
      </c>
      <c r="H16" s="208" t="str">
        <f t="shared" ref="H16" si="13">IF(M16=0," ",I16*19.56/780+J16*11.97/990+K16*14.99/980+L16*17.49/980)</f>
        <v xml:space="preserve"> </v>
      </c>
      <c r="I16" s="150"/>
      <c r="J16" s="151"/>
      <c r="K16" s="150"/>
      <c r="L16" s="150"/>
      <c r="M16" s="150"/>
      <c r="N16" s="150"/>
      <c r="O16" s="1092">
        <f>IF(N16="",0,N16*0.8)</f>
        <v>0</v>
      </c>
      <c r="P16" s="150"/>
      <c r="Q16" s="150"/>
      <c r="R16" s="841"/>
      <c r="S16" s="784"/>
      <c r="T16" s="865"/>
      <c r="U16" s="987"/>
      <c r="V16" s="842"/>
      <c r="W16" s="842"/>
      <c r="X16" s="1094"/>
      <c r="Y16" s="842"/>
      <c r="Z16" s="842"/>
      <c r="AA16" s="751"/>
      <c r="AB16" s="751"/>
      <c r="AC16" s="751"/>
      <c r="AD16" s="1364"/>
      <c r="AE16" s="1364"/>
      <c r="AF16" s="1364"/>
      <c r="AG16" s="1243" t="str">
        <f t="shared" ref="AG16" si="14">IF(M16="","",50*M16+83*P16+44*Q16-59*N16-13*J16-28*(0.93*23*Q16/35.5+P16))</f>
        <v/>
      </c>
      <c r="AH16" s="1243" t="str">
        <f t="shared" ref="AH16" si="15">IF(M16="","",M16/1000*20140+P16/1000*48600+1100/440*F16)</f>
        <v/>
      </c>
    </row>
    <row r="17" spans="1:34">
      <c r="A17" s="22" t="str">
        <f t="shared" si="0"/>
        <v xml:space="preserve"> </v>
      </c>
      <c r="C17" s="1135">
        <f>COUNTA(E$11:E17)</f>
        <v>7</v>
      </c>
      <c r="D17" s="1127"/>
      <c r="E17" s="150">
        <v>960</v>
      </c>
      <c r="F17" s="207" t="str">
        <f t="shared" si="1"/>
        <v xml:space="preserve"> </v>
      </c>
      <c r="G17" s="152">
        <v>0</v>
      </c>
      <c r="H17" s="208" t="str">
        <f t="shared" si="2"/>
        <v xml:space="preserve"> </v>
      </c>
      <c r="I17" s="150"/>
      <c r="J17" s="151"/>
      <c r="K17" s="150"/>
      <c r="L17" s="150"/>
      <c r="M17" s="150"/>
      <c r="N17" s="150"/>
      <c r="O17" s="1092">
        <f>IF(N17="",0,N17*0.8)</f>
        <v>0</v>
      </c>
      <c r="P17" s="150"/>
      <c r="Q17" s="150"/>
      <c r="R17" s="841"/>
      <c r="S17" s="784"/>
      <c r="T17" s="865"/>
      <c r="U17" s="987"/>
      <c r="V17" s="842"/>
      <c r="W17" s="842"/>
      <c r="X17" s="1094"/>
      <c r="Y17" s="842"/>
      <c r="Z17" s="842"/>
      <c r="AA17" s="751"/>
      <c r="AB17" s="751"/>
      <c r="AC17" s="751"/>
      <c r="AD17" s="1364"/>
      <c r="AE17" s="1364"/>
      <c r="AF17" s="1364"/>
      <c r="AG17" s="1243" t="str">
        <f t="shared" ref="AG17:AG19" si="16">IF(M17="","",50*M17+83*P17+44*Q17-59*N17-13*J17-28*(0.93*23*Q17/35.5+P17))</f>
        <v/>
      </c>
      <c r="AH17" s="1243" t="str">
        <f t="shared" ref="AH17:AH19" si="17">IF(M17="","",M17/1000*20140+P17/1000*48600+1100/440*F17)</f>
        <v/>
      </c>
    </row>
    <row r="18" spans="1:34">
      <c r="A18" s="22" t="str">
        <f t="shared" ref="A18:A23" si="18">IF(D18=""," ",D18)</f>
        <v xml:space="preserve"> </v>
      </c>
      <c r="C18" s="1135">
        <f>COUNTA(E$11:E18)</f>
        <v>8</v>
      </c>
      <c r="D18" s="1127"/>
      <c r="E18" s="150">
        <v>960</v>
      </c>
      <c r="F18" s="207" t="str">
        <f t="shared" ref="F18:F19" si="19">IF(M18=0," ",I18*954/780+J18*584/990+K18*731/980+L18*853/980)</f>
        <v xml:space="preserve"> </v>
      </c>
      <c r="G18" s="152">
        <v>1</v>
      </c>
      <c r="H18" s="208" t="str">
        <f t="shared" ref="H18:H19" si="20">IF(M18=0," ",I18*19.56/780+J18*11.97/990+K18*14.99/980+L18*17.49/980)</f>
        <v xml:space="preserve"> </v>
      </c>
      <c r="I18" s="150"/>
      <c r="J18" s="151"/>
      <c r="K18" s="150"/>
      <c r="L18" s="150"/>
      <c r="M18" s="150"/>
      <c r="N18" s="150"/>
      <c r="O18" s="1092">
        <f t="shared" ref="O18:O23" si="21">IF(N18="",0,N18*0.8)</f>
        <v>0</v>
      </c>
      <c r="P18" s="150"/>
      <c r="Q18" s="150"/>
      <c r="R18" s="841"/>
      <c r="S18" s="784"/>
      <c r="T18" s="865"/>
      <c r="U18" s="987"/>
      <c r="V18" s="842"/>
      <c r="W18" s="842"/>
      <c r="X18" s="1094"/>
      <c r="Y18" s="842"/>
      <c r="Z18" s="842"/>
      <c r="AA18" s="751"/>
      <c r="AB18" s="751"/>
      <c r="AC18" s="751"/>
      <c r="AD18" s="751"/>
      <c r="AE18" s="751"/>
      <c r="AF18" s="751"/>
      <c r="AG18" s="1243" t="str">
        <f t="shared" si="16"/>
        <v/>
      </c>
      <c r="AH18" s="1243" t="str">
        <f t="shared" si="17"/>
        <v/>
      </c>
    </row>
    <row r="19" spans="1:34">
      <c r="A19" s="22" t="str">
        <f t="shared" si="18"/>
        <v xml:space="preserve"> </v>
      </c>
      <c r="C19" s="1135">
        <f>COUNTA(E$11:E19)</f>
        <v>9</v>
      </c>
      <c r="D19" s="1127"/>
      <c r="E19" s="150">
        <v>960</v>
      </c>
      <c r="F19" s="207" t="str">
        <f t="shared" si="19"/>
        <v xml:space="preserve"> </v>
      </c>
      <c r="G19" s="152">
        <v>2</v>
      </c>
      <c r="H19" s="208" t="str">
        <f t="shared" si="20"/>
        <v xml:space="preserve"> </v>
      </c>
      <c r="I19" s="150"/>
      <c r="J19" s="151"/>
      <c r="K19" s="150"/>
      <c r="L19" s="150"/>
      <c r="M19" s="150"/>
      <c r="N19" s="150"/>
      <c r="O19" s="1092">
        <f t="shared" si="21"/>
        <v>0</v>
      </c>
      <c r="P19" s="150"/>
      <c r="Q19" s="150"/>
      <c r="R19" s="841"/>
      <c r="S19" s="784" t="str">
        <f t="shared" ref="S19:S24" si="22">IF(N19=0," ",I19*20.51/780+J19*12.56/990+K19*15.72/980+L19*18.34/980)</f>
        <v xml:space="preserve"> </v>
      </c>
      <c r="T19" s="865">
        <f t="shared" ref="T19:T23" si="23">IF(J19="",0,J19)</f>
        <v>0</v>
      </c>
      <c r="U19" s="987"/>
      <c r="V19" s="842"/>
      <c r="W19" s="842"/>
      <c r="X19" s="1094"/>
      <c r="Y19" s="842"/>
      <c r="Z19" s="842"/>
      <c r="AA19" s="751"/>
      <c r="AB19" s="751"/>
      <c r="AC19" s="751"/>
      <c r="AD19" s="751"/>
      <c r="AE19" s="751"/>
      <c r="AF19" s="751"/>
      <c r="AG19" s="1243" t="str">
        <f t="shared" si="16"/>
        <v/>
      </c>
      <c r="AH19" s="1243" t="str">
        <f t="shared" si="17"/>
        <v/>
      </c>
    </row>
    <row r="20" spans="1:34">
      <c r="A20" s="22" t="str">
        <f t="shared" si="18"/>
        <v xml:space="preserve"> </v>
      </c>
      <c r="C20" s="1135">
        <f>COUNTA(E$11:E20)</f>
        <v>10</v>
      </c>
      <c r="D20" s="1127"/>
      <c r="E20" s="150">
        <v>960</v>
      </c>
      <c r="F20" s="207" t="str">
        <f t="shared" ref="F20:F24" si="24">IF(M20=0," ",I20*954/780+J20*584/990+K20*731/980+L20*853/980)</f>
        <v xml:space="preserve"> </v>
      </c>
      <c r="G20" s="152">
        <v>0</v>
      </c>
      <c r="H20" s="208" t="str">
        <f t="shared" ref="H20:H24" si="25">IF(M20=0," ",I20*19.56/780+J20*11.97/990+K20*14.99/980+L20*17.49/980)</f>
        <v xml:space="preserve"> </v>
      </c>
      <c r="I20" s="150"/>
      <c r="J20" s="151"/>
      <c r="K20" s="150"/>
      <c r="L20" s="150"/>
      <c r="M20" s="150"/>
      <c r="N20" s="150"/>
      <c r="O20" s="1092">
        <f t="shared" si="21"/>
        <v>0</v>
      </c>
      <c r="P20" s="150"/>
      <c r="Q20" s="150"/>
      <c r="R20" s="841"/>
      <c r="S20" s="784" t="str">
        <f t="shared" si="22"/>
        <v xml:space="preserve"> </v>
      </c>
      <c r="T20" s="865">
        <f t="shared" si="23"/>
        <v>0</v>
      </c>
      <c r="U20" s="987"/>
      <c r="V20" s="842"/>
      <c r="W20" s="842"/>
      <c r="X20" s="1094"/>
      <c r="Y20" s="842"/>
      <c r="Z20" s="842"/>
      <c r="AA20" s="751"/>
      <c r="AB20" s="751"/>
      <c r="AC20" s="751"/>
      <c r="AD20" s="751"/>
      <c r="AE20" s="751"/>
      <c r="AF20" s="751"/>
      <c r="AG20" s="1243" t="str">
        <f t="shared" ref="AG20:AG24" si="26">IF(M20="","",50*M20+83*P20+44*Q20-59*N20-13*J20-28*(0.93*23*Q20/35.5+P20))</f>
        <v/>
      </c>
      <c r="AH20" s="1243" t="str">
        <f t="shared" si="5"/>
        <v/>
      </c>
    </row>
    <row r="21" spans="1:34">
      <c r="A21" s="22" t="str">
        <f t="shared" si="18"/>
        <v xml:space="preserve"> </v>
      </c>
      <c r="C21" s="1135">
        <f>COUNTA(E$11:E21)</f>
        <v>11</v>
      </c>
      <c r="D21" s="1127"/>
      <c r="E21" s="150">
        <v>960</v>
      </c>
      <c r="F21" s="207" t="str">
        <f t="shared" si="24"/>
        <v xml:space="preserve"> </v>
      </c>
      <c r="G21" s="152">
        <v>0</v>
      </c>
      <c r="H21" s="208" t="str">
        <f t="shared" si="25"/>
        <v xml:space="preserve"> </v>
      </c>
      <c r="I21" s="150"/>
      <c r="J21" s="151"/>
      <c r="K21" s="150"/>
      <c r="L21" s="150"/>
      <c r="M21" s="150"/>
      <c r="N21" s="150"/>
      <c r="O21" s="1092">
        <f t="shared" si="21"/>
        <v>0</v>
      </c>
      <c r="P21" s="150"/>
      <c r="Q21" s="150"/>
      <c r="R21" s="841"/>
      <c r="S21" s="784" t="str">
        <f t="shared" si="22"/>
        <v xml:space="preserve"> </v>
      </c>
      <c r="T21" s="865">
        <f t="shared" si="23"/>
        <v>0</v>
      </c>
      <c r="U21" s="987"/>
      <c r="V21" s="842"/>
      <c r="W21" s="842"/>
      <c r="X21" s="1094"/>
      <c r="Y21" s="842"/>
      <c r="Z21" s="842"/>
      <c r="AA21" s="751"/>
      <c r="AB21" s="751"/>
      <c r="AC21" s="751"/>
      <c r="AD21" s="751"/>
      <c r="AE21" s="751"/>
      <c r="AF21" s="751"/>
      <c r="AG21" s="1243" t="str">
        <f t="shared" si="26"/>
        <v/>
      </c>
      <c r="AH21" s="1243" t="str">
        <f t="shared" si="5"/>
        <v/>
      </c>
    </row>
    <row r="22" spans="1:34">
      <c r="A22" s="22" t="str">
        <f t="shared" si="18"/>
        <v xml:space="preserve"> </v>
      </c>
      <c r="C22" s="1135">
        <f>COUNTA(E$11:E22)</f>
        <v>12</v>
      </c>
      <c r="D22" s="1127"/>
      <c r="E22" s="150">
        <v>960</v>
      </c>
      <c r="F22" s="207" t="str">
        <f t="shared" si="24"/>
        <v xml:space="preserve"> </v>
      </c>
      <c r="G22" s="152">
        <v>0</v>
      </c>
      <c r="H22" s="208" t="str">
        <f t="shared" si="25"/>
        <v xml:space="preserve"> </v>
      </c>
      <c r="I22" s="150"/>
      <c r="J22" s="151"/>
      <c r="K22" s="150"/>
      <c r="L22" s="150"/>
      <c r="M22" s="150"/>
      <c r="N22" s="150"/>
      <c r="O22" s="1092">
        <f t="shared" si="21"/>
        <v>0</v>
      </c>
      <c r="P22" s="150"/>
      <c r="Q22" s="150"/>
      <c r="R22" s="841"/>
      <c r="S22" s="784" t="str">
        <f t="shared" si="22"/>
        <v xml:space="preserve"> </v>
      </c>
      <c r="T22" s="865">
        <f t="shared" si="23"/>
        <v>0</v>
      </c>
      <c r="U22" s="987"/>
      <c r="V22" s="842"/>
      <c r="W22" s="842"/>
      <c r="X22" s="1094"/>
      <c r="Y22" s="842"/>
      <c r="Z22" s="842"/>
      <c r="AA22" s="751"/>
      <c r="AB22" s="751"/>
      <c r="AC22" s="751"/>
      <c r="AD22" s="751"/>
      <c r="AE22" s="751"/>
      <c r="AF22" s="751"/>
      <c r="AG22" s="1243" t="str">
        <f t="shared" si="26"/>
        <v/>
      </c>
      <c r="AH22" s="1243" t="str">
        <f t="shared" si="5"/>
        <v/>
      </c>
    </row>
    <row r="23" spans="1:34">
      <c r="A23" s="22" t="str">
        <f t="shared" si="18"/>
        <v xml:space="preserve"> </v>
      </c>
      <c r="C23" s="1135">
        <f>COUNTA(E$11:E23)</f>
        <v>13</v>
      </c>
      <c r="D23" s="1127"/>
      <c r="E23" s="150">
        <v>960</v>
      </c>
      <c r="F23" s="207" t="str">
        <f t="shared" si="24"/>
        <v xml:space="preserve"> </v>
      </c>
      <c r="G23" s="152">
        <v>0</v>
      </c>
      <c r="H23" s="208" t="str">
        <f t="shared" si="25"/>
        <v xml:space="preserve"> </v>
      </c>
      <c r="I23" s="150"/>
      <c r="J23" s="151"/>
      <c r="K23" s="150"/>
      <c r="L23" s="150"/>
      <c r="M23" s="150"/>
      <c r="N23" s="150"/>
      <c r="O23" s="1092">
        <f t="shared" si="21"/>
        <v>0</v>
      </c>
      <c r="P23" s="150"/>
      <c r="Q23" s="150"/>
      <c r="R23" s="841"/>
      <c r="S23" s="784" t="str">
        <f t="shared" si="22"/>
        <v xml:space="preserve"> </v>
      </c>
      <c r="T23" s="865">
        <f t="shared" si="23"/>
        <v>0</v>
      </c>
      <c r="U23" s="987"/>
      <c r="V23" s="842"/>
      <c r="W23" s="842"/>
      <c r="X23" s="1094"/>
      <c r="Y23" s="842"/>
      <c r="Z23" s="842"/>
      <c r="AA23" s="751"/>
      <c r="AB23" s="751"/>
      <c r="AC23" s="751"/>
      <c r="AD23" s="751"/>
      <c r="AE23" s="751"/>
      <c r="AF23" s="751"/>
      <c r="AG23" s="1243" t="str">
        <f t="shared" si="26"/>
        <v/>
      </c>
      <c r="AH23" s="1243" t="str">
        <f t="shared" si="5"/>
        <v/>
      </c>
    </row>
    <row r="24" spans="1:34">
      <c r="A24" s="22" t="str">
        <f>IF(D24=""," ",D24)</f>
        <v xml:space="preserve"> </v>
      </c>
      <c r="C24" s="1135">
        <f>COUNTA(E$11:E24)</f>
        <v>14</v>
      </c>
      <c r="D24" s="1127"/>
      <c r="E24" s="150">
        <v>960</v>
      </c>
      <c r="F24" s="207" t="str">
        <f t="shared" si="24"/>
        <v xml:space="preserve"> </v>
      </c>
      <c r="G24" s="152">
        <v>0</v>
      </c>
      <c r="H24" s="208" t="str">
        <f t="shared" si="25"/>
        <v xml:space="preserve"> </v>
      </c>
      <c r="I24" s="150"/>
      <c r="J24" s="151"/>
      <c r="K24" s="150"/>
      <c r="L24" s="150"/>
      <c r="M24" s="150"/>
      <c r="N24" s="150"/>
      <c r="O24" s="1092">
        <f>IF(N24="",0,N24*0.8)</f>
        <v>0</v>
      </c>
      <c r="P24" s="150"/>
      <c r="Q24" s="150"/>
      <c r="R24" s="841"/>
      <c r="S24" s="784" t="str">
        <f t="shared" si="22"/>
        <v xml:space="preserve"> </v>
      </c>
      <c r="T24" s="865">
        <f>IF(J24="",0,J24)</f>
        <v>0</v>
      </c>
      <c r="U24" s="987"/>
      <c r="V24" s="842"/>
      <c r="W24" s="842"/>
      <c r="X24" s="1094"/>
      <c r="Y24" s="842"/>
      <c r="Z24" s="842"/>
      <c r="AA24" s="751"/>
      <c r="AB24" s="751"/>
      <c r="AC24" s="751"/>
      <c r="AD24" s="751"/>
      <c r="AE24" s="751"/>
      <c r="AF24" s="751"/>
      <c r="AG24" s="1243" t="str">
        <f t="shared" si="26"/>
        <v/>
      </c>
      <c r="AH24" s="1243" t="str">
        <f t="shared" si="5"/>
        <v/>
      </c>
    </row>
    <row r="25" spans="1:34">
      <c r="A25" s="22" t="str">
        <f>IF(D25=""," ",D25)</f>
        <v xml:space="preserve"> </v>
      </c>
      <c r="C25" s="1135">
        <f>COUNTA(E$11:E25)</f>
        <v>15</v>
      </c>
      <c r="D25" s="1127"/>
      <c r="E25" s="150">
        <v>960</v>
      </c>
      <c r="F25" s="207" t="str">
        <f t="shared" ref="F25:F35" si="27">IF(M25=0," ",I25*954/780+J25*584/990+K25*731/980+L25*853/980)</f>
        <v xml:space="preserve"> </v>
      </c>
      <c r="G25" s="152">
        <v>0</v>
      </c>
      <c r="H25" s="208" t="str">
        <f t="shared" ref="H25:H35" si="28">IF(M25=0," ",I25*19.56/780+J25*11.97/990+K25*14.99/980+L25*17.49/980)</f>
        <v xml:space="preserve"> </v>
      </c>
      <c r="I25" s="150"/>
      <c r="J25" s="151"/>
      <c r="K25" s="150"/>
      <c r="L25" s="150"/>
      <c r="M25" s="150"/>
      <c r="N25" s="150"/>
      <c r="O25" s="1092">
        <f>IF(N25="",0,N25*0.8)</f>
        <v>0</v>
      </c>
      <c r="P25" s="150"/>
      <c r="Q25" s="150"/>
      <c r="R25" s="841"/>
      <c r="S25" s="784" t="str">
        <f t="shared" ref="S25:S35" si="29">IF(N25=0," ",I25*20.51/780+J25*12.56/990+K25*15.72/980+L25*18.34/980)</f>
        <v xml:space="preserve"> </v>
      </c>
      <c r="T25" s="865">
        <f>IF(J25="",0,J25)</f>
        <v>0</v>
      </c>
      <c r="U25" s="987"/>
      <c r="V25" s="842"/>
      <c r="W25" s="842"/>
      <c r="X25" s="1094"/>
      <c r="Y25" s="842"/>
      <c r="Z25" s="842"/>
      <c r="AA25" s="751"/>
      <c r="AB25" s="751"/>
      <c r="AC25" s="751"/>
      <c r="AD25" s="751"/>
      <c r="AE25" s="751"/>
      <c r="AF25" s="751"/>
      <c r="AG25" s="1243" t="str">
        <f t="shared" ref="AG25:AG35" si="30">IF(M25="","",50*M25+83*P25+44*Q25-59*N25-13*J25-28*(0.93*23*Q25/35.5+P25))</f>
        <v/>
      </c>
      <c r="AH25" s="1243" t="str">
        <f t="shared" ref="AH25:AH35" si="31">IF(M25="","",M25/1000*20140+P25/1000*48600+1100/440*F25)</f>
        <v/>
      </c>
    </row>
    <row r="26" spans="1:34">
      <c r="C26" s="1135">
        <f>COUNTA(E$11:E26)</f>
        <v>16</v>
      </c>
      <c r="D26" s="1127"/>
      <c r="E26" s="150">
        <v>960</v>
      </c>
      <c r="F26" s="207" t="str">
        <f t="shared" si="27"/>
        <v xml:space="preserve"> </v>
      </c>
      <c r="G26" s="152">
        <v>0</v>
      </c>
      <c r="H26" s="208" t="str">
        <f t="shared" si="28"/>
        <v xml:space="preserve"> </v>
      </c>
      <c r="I26" s="150"/>
      <c r="J26" s="151"/>
      <c r="K26" s="150"/>
      <c r="L26" s="150"/>
      <c r="M26" s="150"/>
      <c r="N26" s="150"/>
      <c r="O26" s="1092">
        <f t="shared" ref="O26:O34" si="32">IF(N26="",0,N26*0.8)</f>
        <v>0</v>
      </c>
      <c r="P26" s="150"/>
      <c r="Q26" s="150"/>
      <c r="R26" s="841"/>
      <c r="S26" s="784" t="str">
        <f t="shared" si="29"/>
        <v xml:space="preserve"> </v>
      </c>
      <c r="T26" s="865">
        <f t="shared" ref="T26:T34" si="33">IF(J26="",0,J26)</f>
        <v>0</v>
      </c>
      <c r="U26" s="987"/>
      <c r="V26" s="842"/>
      <c r="W26" s="842"/>
      <c r="X26" s="1094"/>
      <c r="Y26" s="842"/>
      <c r="Z26" s="842"/>
      <c r="AA26" s="751"/>
      <c r="AB26" s="751"/>
      <c r="AC26" s="751"/>
      <c r="AD26" s="751"/>
      <c r="AE26" s="751"/>
      <c r="AF26" s="751"/>
      <c r="AG26" s="1243" t="str">
        <f t="shared" si="30"/>
        <v/>
      </c>
      <c r="AH26" s="1243" t="str">
        <f t="shared" si="31"/>
        <v/>
      </c>
    </row>
    <row r="27" spans="1:34">
      <c r="C27" s="1135">
        <f>COUNTA(E$11:E27)</f>
        <v>17</v>
      </c>
      <c r="D27" s="1127"/>
      <c r="E27" s="150">
        <v>960</v>
      </c>
      <c r="F27" s="207" t="str">
        <f t="shared" si="27"/>
        <v xml:space="preserve"> </v>
      </c>
      <c r="G27" s="152">
        <v>0</v>
      </c>
      <c r="H27" s="208" t="str">
        <f t="shared" si="28"/>
        <v xml:space="preserve"> </v>
      </c>
      <c r="I27" s="150"/>
      <c r="J27" s="151"/>
      <c r="K27" s="150"/>
      <c r="L27" s="150"/>
      <c r="M27" s="150"/>
      <c r="N27" s="150"/>
      <c r="O27" s="1092">
        <f t="shared" si="32"/>
        <v>0</v>
      </c>
      <c r="P27" s="150"/>
      <c r="Q27" s="150"/>
      <c r="R27" s="841"/>
      <c r="S27" s="784" t="str">
        <f t="shared" si="29"/>
        <v xml:space="preserve"> </v>
      </c>
      <c r="T27" s="865">
        <f t="shared" si="33"/>
        <v>0</v>
      </c>
      <c r="U27" s="987"/>
      <c r="V27" s="842"/>
      <c r="W27" s="842"/>
      <c r="X27" s="1094"/>
      <c r="Y27" s="842"/>
      <c r="Z27" s="842"/>
      <c r="AA27" s="751"/>
      <c r="AB27" s="751"/>
      <c r="AC27" s="751"/>
      <c r="AD27" s="751"/>
      <c r="AE27" s="751"/>
      <c r="AF27" s="751"/>
      <c r="AG27" s="1243" t="str">
        <f t="shared" si="30"/>
        <v/>
      </c>
      <c r="AH27" s="1243" t="str">
        <f t="shared" si="31"/>
        <v/>
      </c>
    </row>
    <row r="28" spans="1:34">
      <c r="C28" s="1135">
        <f>COUNTA(E$11:E28)</f>
        <v>18</v>
      </c>
      <c r="D28" s="1127"/>
      <c r="E28" s="150">
        <v>960</v>
      </c>
      <c r="F28" s="207" t="str">
        <f t="shared" si="27"/>
        <v xml:space="preserve"> </v>
      </c>
      <c r="G28" s="152">
        <v>0</v>
      </c>
      <c r="H28" s="208" t="str">
        <f t="shared" si="28"/>
        <v xml:space="preserve"> </v>
      </c>
      <c r="I28" s="150"/>
      <c r="J28" s="151"/>
      <c r="K28" s="150"/>
      <c r="L28" s="150"/>
      <c r="M28" s="150"/>
      <c r="N28" s="150"/>
      <c r="O28" s="1092">
        <f t="shared" si="32"/>
        <v>0</v>
      </c>
      <c r="P28" s="150"/>
      <c r="Q28" s="150"/>
      <c r="R28" s="841"/>
      <c r="S28" s="784" t="str">
        <f t="shared" si="29"/>
        <v xml:space="preserve"> </v>
      </c>
      <c r="T28" s="865">
        <f t="shared" si="33"/>
        <v>0</v>
      </c>
      <c r="U28" s="987"/>
      <c r="V28" s="842"/>
      <c r="W28" s="842"/>
      <c r="X28" s="1094"/>
      <c r="Y28" s="842"/>
      <c r="Z28" s="842"/>
      <c r="AA28" s="751"/>
      <c r="AB28" s="751"/>
      <c r="AC28" s="751"/>
      <c r="AD28" s="751"/>
      <c r="AE28" s="751"/>
      <c r="AF28" s="751"/>
      <c r="AG28" s="1243" t="str">
        <f t="shared" si="30"/>
        <v/>
      </c>
      <c r="AH28" s="1243" t="str">
        <f t="shared" si="31"/>
        <v/>
      </c>
    </row>
    <row r="29" spans="1:34">
      <c r="C29" s="1135">
        <f>COUNTA(E$11:E29)</f>
        <v>19</v>
      </c>
      <c r="D29" s="1127"/>
      <c r="E29" s="150">
        <v>960</v>
      </c>
      <c r="F29" s="207" t="str">
        <f t="shared" si="27"/>
        <v xml:space="preserve"> </v>
      </c>
      <c r="G29" s="152">
        <v>0</v>
      </c>
      <c r="H29" s="208" t="str">
        <f t="shared" si="28"/>
        <v xml:space="preserve"> </v>
      </c>
      <c r="I29" s="150"/>
      <c r="J29" s="151"/>
      <c r="K29" s="150"/>
      <c r="L29" s="150"/>
      <c r="M29" s="150"/>
      <c r="N29" s="150"/>
      <c r="O29" s="1092">
        <f t="shared" si="32"/>
        <v>0</v>
      </c>
      <c r="P29" s="150"/>
      <c r="Q29" s="150"/>
      <c r="R29" s="841"/>
      <c r="S29" s="784" t="str">
        <f t="shared" si="29"/>
        <v xml:space="preserve"> </v>
      </c>
      <c r="T29" s="865">
        <f t="shared" si="33"/>
        <v>0</v>
      </c>
      <c r="U29" s="987"/>
      <c r="V29" s="842"/>
      <c r="W29" s="842"/>
      <c r="X29" s="1094"/>
      <c r="Y29" s="842"/>
      <c r="Z29" s="842"/>
      <c r="AA29" s="751"/>
      <c r="AB29" s="751"/>
      <c r="AC29" s="751"/>
      <c r="AD29" s="751"/>
      <c r="AE29" s="751"/>
      <c r="AF29" s="751"/>
      <c r="AG29" s="1243" t="str">
        <f t="shared" si="30"/>
        <v/>
      </c>
      <c r="AH29" s="1243" t="str">
        <f t="shared" si="31"/>
        <v/>
      </c>
    </row>
    <row r="30" spans="1:34">
      <c r="C30" s="1135">
        <f>COUNTA(E$11:E30)</f>
        <v>20</v>
      </c>
      <c r="D30" s="1127"/>
      <c r="E30" s="150">
        <v>960</v>
      </c>
      <c r="F30" s="207" t="str">
        <f t="shared" si="27"/>
        <v xml:space="preserve"> </v>
      </c>
      <c r="G30" s="152">
        <v>0</v>
      </c>
      <c r="H30" s="208" t="str">
        <f t="shared" si="28"/>
        <v xml:space="preserve"> </v>
      </c>
      <c r="I30" s="150"/>
      <c r="J30" s="151"/>
      <c r="K30" s="150"/>
      <c r="L30" s="150"/>
      <c r="M30" s="150"/>
      <c r="N30" s="150"/>
      <c r="O30" s="1092">
        <f t="shared" si="32"/>
        <v>0</v>
      </c>
      <c r="P30" s="150"/>
      <c r="Q30" s="150"/>
      <c r="R30" s="841"/>
      <c r="S30" s="784" t="str">
        <f t="shared" si="29"/>
        <v xml:space="preserve"> </v>
      </c>
      <c r="T30" s="865">
        <f t="shared" si="33"/>
        <v>0</v>
      </c>
      <c r="U30" s="987"/>
      <c r="V30" s="842"/>
      <c r="W30" s="842"/>
      <c r="X30" s="1094"/>
      <c r="Y30" s="842"/>
      <c r="Z30" s="842"/>
      <c r="AA30" s="751"/>
      <c r="AB30" s="751"/>
      <c r="AC30" s="751"/>
      <c r="AD30" s="751"/>
      <c r="AE30" s="751"/>
      <c r="AF30" s="751"/>
      <c r="AG30" s="1243" t="str">
        <f t="shared" si="30"/>
        <v/>
      </c>
      <c r="AH30" s="1243" t="str">
        <f t="shared" si="31"/>
        <v/>
      </c>
    </row>
    <row r="31" spans="1:34">
      <c r="C31" s="1135">
        <f>COUNTA(E$11:E31)</f>
        <v>21</v>
      </c>
      <c r="D31" s="1127"/>
      <c r="E31" s="150">
        <v>960</v>
      </c>
      <c r="F31" s="207" t="str">
        <f t="shared" si="27"/>
        <v xml:space="preserve"> </v>
      </c>
      <c r="G31" s="152">
        <v>0</v>
      </c>
      <c r="H31" s="208" t="str">
        <f t="shared" si="28"/>
        <v xml:space="preserve"> </v>
      </c>
      <c r="I31" s="150"/>
      <c r="J31" s="151"/>
      <c r="K31" s="150"/>
      <c r="L31" s="150"/>
      <c r="M31" s="150"/>
      <c r="N31" s="150"/>
      <c r="O31" s="1092">
        <f t="shared" si="32"/>
        <v>0</v>
      </c>
      <c r="P31" s="150"/>
      <c r="Q31" s="150"/>
      <c r="R31" s="841"/>
      <c r="S31" s="784" t="str">
        <f t="shared" si="29"/>
        <v xml:space="preserve"> </v>
      </c>
      <c r="T31" s="865">
        <f t="shared" si="33"/>
        <v>0</v>
      </c>
      <c r="U31" s="987"/>
      <c r="V31" s="842"/>
      <c r="W31" s="842"/>
      <c r="X31" s="1094"/>
      <c r="Y31" s="842"/>
      <c r="Z31" s="842"/>
      <c r="AA31" s="751"/>
      <c r="AB31" s="751"/>
      <c r="AC31" s="751"/>
      <c r="AD31" s="751"/>
      <c r="AE31" s="751"/>
      <c r="AF31" s="751"/>
      <c r="AG31" s="1243" t="str">
        <f t="shared" si="30"/>
        <v/>
      </c>
      <c r="AH31" s="1243" t="str">
        <f t="shared" si="31"/>
        <v/>
      </c>
    </row>
    <row r="32" spans="1:34">
      <c r="C32" s="1135">
        <f>COUNTA(E$11:E32)</f>
        <v>22</v>
      </c>
      <c r="D32" s="1127"/>
      <c r="E32" s="150">
        <v>960</v>
      </c>
      <c r="F32" s="207" t="str">
        <f t="shared" si="27"/>
        <v xml:space="preserve"> </v>
      </c>
      <c r="G32" s="152">
        <v>0</v>
      </c>
      <c r="H32" s="208" t="str">
        <f t="shared" si="28"/>
        <v xml:space="preserve"> </v>
      </c>
      <c r="I32" s="150"/>
      <c r="J32" s="151"/>
      <c r="K32" s="150"/>
      <c r="L32" s="150"/>
      <c r="M32" s="150"/>
      <c r="N32" s="150"/>
      <c r="O32" s="1092">
        <f t="shared" si="32"/>
        <v>0</v>
      </c>
      <c r="P32" s="150"/>
      <c r="Q32" s="150"/>
      <c r="R32" s="841"/>
      <c r="S32" s="784" t="str">
        <f t="shared" si="29"/>
        <v xml:space="preserve"> </v>
      </c>
      <c r="T32" s="865">
        <f t="shared" si="33"/>
        <v>0</v>
      </c>
      <c r="U32" s="987"/>
      <c r="V32" s="842"/>
      <c r="W32" s="842"/>
      <c r="X32" s="1094"/>
      <c r="Y32" s="842"/>
      <c r="Z32" s="842"/>
      <c r="AA32" s="751"/>
      <c r="AB32" s="751"/>
      <c r="AC32" s="751"/>
      <c r="AD32" s="751"/>
      <c r="AE32" s="751"/>
      <c r="AF32" s="751"/>
      <c r="AG32" s="1243" t="str">
        <f t="shared" si="30"/>
        <v/>
      </c>
      <c r="AH32" s="1243" t="str">
        <f t="shared" si="31"/>
        <v/>
      </c>
    </row>
    <row r="33" spans="3:34">
      <c r="C33" s="1135">
        <f>COUNTA(E$11:E33)</f>
        <v>23</v>
      </c>
      <c r="D33" s="1127"/>
      <c r="E33" s="150">
        <v>960</v>
      </c>
      <c r="F33" s="207" t="str">
        <f t="shared" si="27"/>
        <v xml:space="preserve"> </v>
      </c>
      <c r="G33" s="152">
        <v>0</v>
      </c>
      <c r="H33" s="208" t="str">
        <f t="shared" si="28"/>
        <v xml:space="preserve"> </v>
      </c>
      <c r="I33" s="150"/>
      <c r="J33" s="151"/>
      <c r="K33" s="150"/>
      <c r="L33" s="150"/>
      <c r="M33" s="150"/>
      <c r="N33" s="150"/>
      <c r="O33" s="1092">
        <f t="shared" si="32"/>
        <v>0</v>
      </c>
      <c r="P33" s="150"/>
      <c r="Q33" s="150"/>
      <c r="R33" s="841"/>
      <c r="S33" s="784" t="str">
        <f t="shared" si="29"/>
        <v xml:space="preserve"> </v>
      </c>
      <c r="T33" s="865">
        <f t="shared" si="33"/>
        <v>0</v>
      </c>
      <c r="U33" s="987"/>
      <c r="V33" s="842"/>
      <c r="W33" s="842"/>
      <c r="X33" s="1094"/>
      <c r="Y33" s="842"/>
      <c r="Z33" s="842"/>
      <c r="AA33" s="751"/>
      <c r="AB33" s="751"/>
      <c r="AC33" s="751"/>
      <c r="AD33" s="751"/>
      <c r="AE33" s="751"/>
      <c r="AF33" s="751"/>
      <c r="AG33" s="1243" t="str">
        <f t="shared" si="30"/>
        <v/>
      </c>
      <c r="AH33" s="1243" t="str">
        <f t="shared" si="31"/>
        <v/>
      </c>
    </row>
    <row r="34" spans="3:34">
      <c r="C34" s="1135">
        <f>COUNTA(E$11:E34)</f>
        <v>24</v>
      </c>
      <c r="D34" s="1127"/>
      <c r="E34" s="150">
        <v>960</v>
      </c>
      <c r="F34" s="207" t="str">
        <f t="shared" si="27"/>
        <v xml:space="preserve"> </v>
      </c>
      <c r="G34" s="152">
        <v>0</v>
      </c>
      <c r="H34" s="208" t="str">
        <f t="shared" si="28"/>
        <v xml:space="preserve"> </v>
      </c>
      <c r="I34" s="150"/>
      <c r="J34" s="151"/>
      <c r="K34" s="150"/>
      <c r="L34" s="150"/>
      <c r="M34" s="150"/>
      <c r="N34" s="150"/>
      <c r="O34" s="1092">
        <f t="shared" si="32"/>
        <v>0</v>
      </c>
      <c r="P34" s="150"/>
      <c r="Q34" s="150"/>
      <c r="R34" s="841"/>
      <c r="S34" s="784" t="str">
        <f t="shared" si="29"/>
        <v xml:space="preserve"> </v>
      </c>
      <c r="T34" s="865">
        <f t="shared" si="33"/>
        <v>0</v>
      </c>
      <c r="U34" s="987"/>
      <c r="V34" s="842"/>
      <c r="W34" s="842"/>
      <c r="X34" s="1094"/>
      <c r="Y34" s="842"/>
      <c r="Z34" s="842"/>
      <c r="AA34" s="751"/>
      <c r="AB34" s="751"/>
      <c r="AC34" s="751"/>
      <c r="AD34" s="751"/>
      <c r="AE34" s="751"/>
      <c r="AF34" s="751"/>
      <c r="AG34" s="1243" t="str">
        <f t="shared" si="30"/>
        <v/>
      </c>
      <c r="AH34" s="1243" t="str">
        <f t="shared" si="31"/>
        <v/>
      </c>
    </row>
    <row r="35" spans="3:34" ht="16" thickBot="1">
      <c r="C35" s="1138">
        <f>COUNTA(E$11:E35)</f>
        <v>25</v>
      </c>
      <c r="D35" s="1139"/>
      <c r="E35" s="769">
        <v>960</v>
      </c>
      <c r="F35" s="770" t="str">
        <f t="shared" si="27"/>
        <v xml:space="preserve"> </v>
      </c>
      <c r="G35" s="771">
        <v>1</v>
      </c>
      <c r="H35" s="772" t="str">
        <f t="shared" si="28"/>
        <v xml:space="preserve"> </v>
      </c>
      <c r="I35" s="769"/>
      <c r="J35" s="1017"/>
      <c r="K35" s="769"/>
      <c r="L35" s="769"/>
      <c r="M35" s="769"/>
      <c r="N35" s="769"/>
      <c r="O35" s="1093">
        <f>IF(N35="",0,N35*0.8)</f>
        <v>0</v>
      </c>
      <c r="P35" s="769"/>
      <c r="Q35" s="769"/>
      <c r="R35" s="1018"/>
      <c r="S35" s="784" t="str">
        <f t="shared" si="29"/>
        <v xml:space="preserve"> </v>
      </c>
      <c r="T35" s="865">
        <f>IF(J35="",0,J35)</f>
        <v>0</v>
      </c>
      <c r="U35" s="987"/>
      <c r="V35" s="842"/>
      <c r="W35" s="842"/>
      <c r="X35" s="1094"/>
      <c r="Y35" s="842"/>
      <c r="Z35" s="842"/>
      <c r="AA35" s="751"/>
      <c r="AB35" s="751"/>
      <c r="AC35" s="751"/>
      <c r="AD35" s="751"/>
      <c r="AE35" s="751"/>
      <c r="AF35" s="751"/>
      <c r="AG35" s="1243" t="str">
        <f t="shared" si="30"/>
        <v/>
      </c>
      <c r="AH35" s="1243" t="str">
        <f t="shared" si="31"/>
        <v/>
      </c>
    </row>
    <row r="36" spans="3:34">
      <c r="D36" s="27" t="s">
        <v>154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3:34">
      <c r="D37" s="27" t="s">
        <v>1071</v>
      </c>
      <c r="E37" s="25"/>
      <c r="F37" s="25"/>
      <c r="G37" s="25"/>
      <c r="H37" s="25"/>
      <c r="I37" s="25"/>
      <c r="J37" s="28"/>
    </row>
    <row r="38" spans="3:34">
      <c r="D38" s="27" t="s">
        <v>1070</v>
      </c>
      <c r="E38" s="25"/>
      <c r="F38" s="25"/>
      <c r="G38" s="25"/>
      <c r="H38" s="25"/>
      <c r="I38" s="25"/>
      <c r="J38" s="28"/>
    </row>
    <row r="39" spans="3:34">
      <c r="D39" s="29" t="s">
        <v>213</v>
      </c>
      <c r="E39" s="25"/>
      <c r="F39" s="25"/>
      <c r="G39" s="25"/>
      <c r="H39" s="25"/>
      <c r="I39" s="25"/>
      <c r="J39" s="28"/>
    </row>
    <row r="40" spans="3:34">
      <c r="E40" s="25"/>
      <c r="F40" s="25"/>
      <c r="G40" s="25"/>
      <c r="H40" s="25"/>
      <c r="I40" s="25"/>
      <c r="J40" s="28"/>
    </row>
  </sheetData>
  <sheetProtection sheet="1" objects="1" scenarios="1" selectLockedCells="1"/>
  <mergeCells count="18">
    <mergeCell ref="W8:W9"/>
    <mergeCell ref="X8:X9"/>
    <mergeCell ref="Y8:Y9"/>
    <mergeCell ref="Z8:Z9"/>
    <mergeCell ref="C4:R4"/>
    <mergeCell ref="C5:R5"/>
    <mergeCell ref="S7:AH7"/>
    <mergeCell ref="T8:T9"/>
    <mergeCell ref="U8:U9"/>
    <mergeCell ref="V8:V9"/>
    <mergeCell ref="AH8:AH9"/>
    <mergeCell ref="AA8:AA9"/>
    <mergeCell ref="AB8:AB9"/>
    <mergeCell ref="AC8:AC9"/>
    <mergeCell ref="AG8:AG9"/>
    <mergeCell ref="AD8:AD9"/>
    <mergeCell ref="AE8:AE9"/>
    <mergeCell ref="AF8:AF9"/>
  </mergeCells>
  <conditionalFormatting sqref="O14:O35">
    <cfRule type="cellIs" dxfId="1" priority="9" stopIfTrue="1" operator="equal">
      <formula>0</formula>
    </cfRule>
  </conditionalFormatting>
  <conditionalFormatting sqref="T14:T35 AG14:AH35">
    <cfRule type="cellIs" dxfId="0" priority="8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3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53" r:id="rId3" name="Button 1">
              <controlPr defaultSize="0" print="0" autoFill="0" autoPict="0" macro="[0]!Startseite">
                <anchor moveWithCells="1">
                  <from>
                    <xdr:col>3</xdr:col>
                    <xdr:colOff>355600</xdr:colOff>
                    <xdr:row>1</xdr:row>
                    <xdr:rowOff>0</xdr:rowOff>
                  </from>
                  <to>
                    <xdr:col>3</xdr:col>
                    <xdr:colOff>2057400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954" r:id="rId4" name="Button 2">
              <controlPr defaultSize="0" print="0" autoFill="0" autoPict="0" macro="[0]!Futterberechnung">
                <anchor moveWithCells="1">
                  <from>
                    <xdr:col>4</xdr:col>
                    <xdr:colOff>177800</xdr:colOff>
                    <xdr:row>1</xdr:row>
                    <xdr:rowOff>12700</xdr:rowOff>
                  </from>
                  <to>
                    <xdr:col>8</xdr:col>
                    <xdr:colOff>355600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955" r:id="rId5" name="Button 3">
              <controlPr defaultSize="0" print="0" autoFill="0" autoPict="0" macro="[0]!FuMi_Liste">
                <anchor moveWithCells="1">
                  <from>
                    <xdr:col>10</xdr:col>
                    <xdr:colOff>368300</xdr:colOff>
                    <xdr:row>1</xdr:row>
                    <xdr:rowOff>0</xdr:rowOff>
                  </from>
                  <to>
                    <xdr:col>14</xdr:col>
                    <xdr:colOff>12700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960" r:id="rId6" name="Button 8">
              <controlPr defaultSize="0" print="0" autoFill="0" autoPict="0" macro="[0]!einfügen_Mineralfutter">
                <anchor moveWithCells="1">
                  <from>
                    <xdr:col>15</xdr:col>
                    <xdr:colOff>381000</xdr:colOff>
                    <xdr:row>1</xdr:row>
                    <xdr:rowOff>12700</xdr:rowOff>
                  </from>
                  <to>
                    <xdr:col>17</xdr:col>
                    <xdr:colOff>1066800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 enableFormatConditionsCalculation="0">
    <tabColor indexed="33"/>
    <pageSetUpPr fitToPage="1"/>
  </sheetPr>
  <dimension ref="A1:AU121"/>
  <sheetViews>
    <sheetView showGridLines="0" showRowColHeaders="0" zoomScale="85" zoomScaleNormal="85" zoomScalePageLayoutView="85" workbookViewId="0">
      <pane xSplit="3" ySplit="11" topLeftCell="D12" activePane="bottomRight" state="frozen"/>
      <selection pane="topRight" activeCell="C1" sqref="C1"/>
      <selection pane="bottomLeft" activeCell="A9" sqref="A9"/>
      <selection pane="bottomRight" activeCell="D16" sqref="D16"/>
    </sheetView>
  </sheetViews>
  <sheetFormatPr baseColWidth="10" defaultRowHeight="12" x14ac:dyDescent="0"/>
  <cols>
    <col min="1" max="1" width="46.1640625" style="13" hidden="1" customWidth="1"/>
    <col min="2" max="2" width="4.1640625" style="24" bestFit="1" customWidth="1"/>
    <col min="3" max="3" width="45.33203125" style="13" customWidth="1"/>
    <col min="4" max="18" width="5.6640625" style="24" customWidth="1"/>
    <col min="19" max="19" width="5.6640625" style="13" customWidth="1"/>
    <col min="20" max="23" width="5.6640625" style="24" customWidth="1"/>
    <col min="24" max="27" width="8.6640625" style="13" customWidth="1"/>
    <col min="28" max="28" width="8.6640625" style="24" customWidth="1"/>
    <col min="29" max="29" width="8.6640625" style="50" bestFit="1" customWidth="1"/>
    <col min="30" max="30" width="5.6640625" style="13" customWidth="1"/>
    <col min="31" max="32" width="5.6640625" style="45" customWidth="1"/>
    <col min="33" max="36" width="8.6640625" style="719" customWidth="1"/>
    <col min="37" max="38" width="8.6640625" style="40" customWidth="1"/>
    <col min="39" max="44" width="8.6640625" style="719" customWidth="1"/>
    <col min="45" max="47" width="8.6640625" style="13" customWidth="1"/>
    <col min="48" max="16384" width="10.83203125" style="13"/>
  </cols>
  <sheetData>
    <row r="1" spans="1:47" s="990" customFormat="1" ht="5.25" customHeight="1"/>
    <row r="2" spans="1:47" s="990" customFormat="1" ht="24" customHeight="1"/>
    <row r="3" spans="1:47" s="990" customFormat="1" ht="3.75" customHeight="1">
      <c r="Y3" s="991"/>
      <c r="Z3" s="991"/>
      <c r="AA3" s="991"/>
    </row>
    <row r="4" spans="1:47" ht="16" customHeight="1">
      <c r="C4" s="13" t="s">
        <v>80</v>
      </c>
      <c r="D4" s="31" t="s">
        <v>81</v>
      </c>
      <c r="AC4" s="1772" t="s">
        <v>1073</v>
      </c>
      <c r="AD4" s="1772"/>
      <c r="AE4" s="1773"/>
      <c r="AF4" s="1774"/>
    </row>
    <row r="5" spans="1:47" ht="16" customHeight="1">
      <c r="D5" s="31" t="s">
        <v>1</v>
      </c>
      <c r="Y5" s="1030"/>
    </row>
    <row r="6" spans="1:47" ht="16" customHeight="1"/>
    <row r="7" spans="1:47" s="32" customFormat="1" ht="16" customHeight="1">
      <c r="B7" s="1775" t="s">
        <v>286</v>
      </c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720"/>
      <c r="AH7" s="720"/>
      <c r="AI7" s="720"/>
      <c r="AJ7" s="720"/>
      <c r="AK7" s="894"/>
      <c r="AL7" s="894"/>
      <c r="AM7" s="720"/>
      <c r="AN7" s="720"/>
      <c r="AO7" s="720"/>
      <c r="AP7" s="720"/>
      <c r="AQ7" s="720"/>
      <c r="AR7" s="720"/>
    </row>
    <row r="8" spans="1:47" s="32" customFormat="1" ht="31.5" customHeight="1">
      <c r="B8" s="1782" t="s">
        <v>1121</v>
      </c>
      <c r="C8" s="1637"/>
      <c r="D8" s="1637"/>
      <c r="E8" s="1637"/>
      <c r="F8" s="1637"/>
      <c r="G8" s="1637"/>
      <c r="H8" s="1637"/>
      <c r="I8" s="1637"/>
      <c r="J8" s="1637"/>
      <c r="K8" s="1637"/>
      <c r="L8" s="1637"/>
      <c r="M8" s="1637"/>
      <c r="N8" s="1637"/>
      <c r="O8" s="1637"/>
      <c r="P8" s="1637"/>
      <c r="Q8" s="1637"/>
      <c r="R8" s="1637"/>
      <c r="S8" s="1637"/>
      <c r="T8" s="1637"/>
      <c r="U8" s="1637"/>
      <c r="V8" s="1637"/>
      <c r="W8" s="1637"/>
      <c r="X8" s="1637"/>
      <c r="Y8" s="1637"/>
      <c r="Z8" s="1637"/>
      <c r="AA8" s="1637"/>
      <c r="AB8" s="1637"/>
      <c r="AC8" s="1637"/>
      <c r="AD8" s="1637"/>
      <c r="AE8" s="1637"/>
      <c r="AF8" s="1637"/>
      <c r="AG8" s="720"/>
      <c r="AH8" s="720"/>
      <c r="AI8" s="720"/>
      <c r="AJ8" s="720"/>
      <c r="AK8" s="894"/>
      <c r="AL8" s="894"/>
      <c r="AM8" s="720"/>
      <c r="AN8" s="720"/>
      <c r="AO8" s="720"/>
      <c r="AP8" s="720"/>
      <c r="AQ8" s="720"/>
      <c r="AR8" s="1776" t="s">
        <v>602</v>
      </c>
    </row>
    <row r="9" spans="1:47" ht="30.75" customHeight="1">
      <c r="C9" s="1052" t="s">
        <v>652</v>
      </c>
      <c r="G9" s="1031"/>
      <c r="H9" s="1031"/>
      <c r="I9" s="1031"/>
      <c r="J9" s="1031"/>
      <c r="K9" s="1031"/>
      <c r="L9" s="1031"/>
      <c r="M9" s="1031"/>
      <c r="N9" s="1032"/>
      <c r="O9" s="1032"/>
      <c r="P9" s="1032"/>
      <c r="Q9" s="33"/>
      <c r="T9" s="1783" t="s">
        <v>231</v>
      </c>
      <c r="U9" s="1762"/>
      <c r="V9" s="1762"/>
      <c r="W9" s="1762"/>
      <c r="X9" s="1030"/>
      <c r="Y9" s="1030"/>
      <c r="Z9" s="1030"/>
      <c r="AA9" s="1030"/>
      <c r="AC9" s="1780" t="s">
        <v>315</v>
      </c>
      <c r="AD9" s="45"/>
      <c r="AG9" s="30"/>
      <c r="AH9" s="30"/>
      <c r="AI9" s="30"/>
      <c r="AJ9" s="30"/>
      <c r="AK9" s="714"/>
      <c r="AL9" s="714"/>
      <c r="AM9" s="30"/>
      <c r="AN9" s="1784" t="s">
        <v>1068</v>
      </c>
      <c r="AO9" s="1785"/>
      <c r="AP9" s="1785"/>
      <c r="AQ9" s="30"/>
      <c r="AR9" s="1777"/>
    </row>
    <row r="10" spans="1:47" ht="25" customHeight="1">
      <c r="B10" s="47"/>
      <c r="C10" s="1344" t="s">
        <v>830</v>
      </c>
      <c r="D10" s="715" t="s">
        <v>82</v>
      </c>
      <c r="E10" s="1042" t="s">
        <v>651</v>
      </c>
      <c r="F10" s="716" t="s">
        <v>437</v>
      </c>
      <c r="G10" s="715" t="s">
        <v>15</v>
      </c>
      <c r="H10" s="716" t="s">
        <v>243</v>
      </c>
      <c r="I10" s="715" t="s">
        <v>83</v>
      </c>
      <c r="J10" s="1042" t="s">
        <v>365</v>
      </c>
      <c r="K10" s="715" t="s">
        <v>17</v>
      </c>
      <c r="L10" s="716" t="s">
        <v>244</v>
      </c>
      <c r="M10" s="1358" t="s">
        <v>330</v>
      </c>
      <c r="N10" s="1042" t="s">
        <v>366</v>
      </c>
      <c r="O10" s="715" t="s">
        <v>435</v>
      </c>
      <c r="P10" s="715" t="s">
        <v>436</v>
      </c>
      <c r="Q10" s="715" t="s">
        <v>84</v>
      </c>
      <c r="R10" s="715" t="s">
        <v>223</v>
      </c>
      <c r="S10" s="715" t="s">
        <v>22</v>
      </c>
      <c r="T10" s="1075" t="s">
        <v>661</v>
      </c>
      <c r="U10" s="1076" t="s">
        <v>662</v>
      </c>
      <c r="V10" s="1076" t="s">
        <v>663</v>
      </c>
      <c r="W10" s="1077" t="s">
        <v>664</v>
      </c>
      <c r="X10" s="717" t="s">
        <v>233</v>
      </c>
      <c r="Y10" s="718" t="s">
        <v>245</v>
      </c>
      <c r="Z10" s="717" t="s">
        <v>229</v>
      </c>
      <c r="AA10" s="717" t="s">
        <v>230</v>
      </c>
      <c r="AB10" s="716" t="s">
        <v>440</v>
      </c>
      <c r="AC10" s="1781"/>
      <c r="AD10" s="713" t="s">
        <v>600</v>
      </c>
      <c r="AE10" s="713" t="s">
        <v>601</v>
      </c>
      <c r="AF10" s="1778" t="s">
        <v>811</v>
      </c>
      <c r="AG10" s="721" t="s">
        <v>524</v>
      </c>
      <c r="AH10" s="721" t="s">
        <v>525</v>
      </c>
      <c r="AI10" s="721" t="s">
        <v>526</v>
      </c>
      <c r="AJ10" s="834" t="s">
        <v>616</v>
      </c>
      <c r="AK10" s="895" t="s">
        <v>812</v>
      </c>
      <c r="AL10" s="895" t="s">
        <v>813</v>
      </c>
      <c r="AM10" s="722" t="s">
        <v>814</v>
      </c>
      <c r="AN10" s="1442" t="s">
        <v>531</v>
      </c>
      <c r="AO10" s="1442" t="s">
        <v>532</v>
      </c>
      <c r="AP10" s="1442" t="s">
        <v>533</v>
      </c>
      <c r="AQ10" s="721" t="s">
        <v>542</v>
      </c>
      <c r="AR10" s="1777"/>
      <c r="AS10" s="1352" t="s">
        <v>831</v>
      </c>
      <c r="AT10" s="1353" t="s">
        <v>832</v>
      </c>
      <c r="AU10" s="1353" t="s">
        <v>618</v>
      </c>
    </row>
    <row r="11" spans="1:47" ht="13" thickBot="1">
      <c r="B11" s="48" t="s">
        <v>158</v>
      </c>
      <c r="C11" s="729" t="s">
        <v>85</v>
      </c>
      <c r="D11" s="37" t="s">
        <v>86</v>
      </c>
      <c r="E11" s="37" t="s">
        <v>263</v>
      </c>
      <c r="F11" s="37" t="s">
        <v>263</v>
      </c>
      <c r="G11" s="37" t="s">
        <v>263</v>
      </c>
      <c r="H11" s="37" t="s">
        <v>263</v>
      </c>
      <c r="I11" s="37" t="s">
        <v>263</v>
      </c>
      <c r="J11" s="37" t="s">
        <v>263</v>
      </c>
      <c r="K11" s="37" t="s">
        <v>263</v>
      </c>
      <c r="L11" s="37" t="s">
        <v>263</v>
      </c>
      <c r="M11" s="37" t="s">
        <v>263</v>
      </c>
      <c r="N11" s="37" t="s">
        <v>263</v>
      </c>
      <c r="O11" s="37" t="s">
        <v>263</v>
      </c>
      <c r="P11" s="37" t="s">
        <v>263</v>
      </c>
      <c r="Q11" s="37" t="s">
        <v>263</v>
      </c>
      <c r="R11" s="38" t="s">
        <v>263</v>
      </c>
      <c r="S11" s="38" t="s">
        <v>263</v>
      </c>
      <c r="T11" s="1033" t="s">
        <v>232</v>
      </c>
      <c r="U11" s="38"/>
      <c r="V11" s="38"/>
      <c r="W11" s="1034"/>
      <c r="X11" s="38" t="s">
        <v>234</v>
      </c>
      <c r="Y11" s="38" t="s">
        <v>234</v>
      </c>
      <c r="Z11" s="67" t="s">
        <v>236</v>
      </c>
      <c r="AA11" s="67" t="s">
        <v>236</v>
      </c>
      <c r="AB11" s="37" t="s">
        <v>263</v>
      </c>
      <c r="AC11" s="157" t="s">
        <v>263</v>
      </c>
      <c r="AD11" s="725" t="s">
        <v>263</v>
      </c>
      <c r="AE11" s="725" t="s">
        <v>263</v>
      </c>
      <c r="AF11" s="1779"/>
      <c r="AG11" s="723" t="s">
        <v>263</v>
      </c>
      <c r="AH11" s="723" t="s">
        <v>263</v>
      </c>
      <c r="AI11" s="723" t="s">
        <v>263</v>
      </c>
      <c r="AJ11" s="723" t="s">
        <v>263</v>
      </c>
      <c r="AK11" s="896" t="s">
        <v>263</v>
      </c>
      <c r="AL11" s="896" t="s">
        <v>263</v>
      </c>
      <c r="AM11" s="723" t="s">
        <v>263</v>
      </c>
      <c r="AN11" s="1334" t="s">
        <v>815</v>
      </c>
      <c r="AO11" s="1334" t="s">
        <v>815</v>
      </c>
      <c r="AP11" s="1334" t="s">
        <v>816</v>
      </c>
      <c r="AQ11" s="1334" t="s">
        <v>817</v>
      </c>
      <c r="AR11" s="1334" t="s">
        <v>817</v>
      </c>
      <c r="AS11" s="1334" t="s">
        <v>833</v>
      </c>
      <c r="AT11" s="1334" t="s">
        <v>833</v>
      </c>
      <c r="AU11" s="1334" t="s">
        <v>833</v>
      </c>
    </row>
    <row r="12" spans="1:47" ht="7.5" customHeight="1">
      <c r="B12" s="1346"/>
      <c r="C12" s="1546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35"/>
      <c r="S12" s="35"/>
      <c r="T12" s="1035"/>
      <c r="U12" s="35"/>
      <c r="V12" s="35"/>
      <c r="W12" s="1036"/>
      <c r="X12" s="35"/>
      <c r="Y12" s="35"/>
      <c r="Z12" s="524"/>
      <c r="AA12" s="524"/>
      <c r="AB12" s="523"/>
      <c r="AC12" s="525"/>
      <c r="AD12" s="896"/>
      <c r="AE12" s="896"/>
      <c r="AF12" s="723"/>
      <c r="AG12" s="723"/>
      <c r="AH12" s="723"/>
      <c r="AI12" s="723"/>
      <c r="AJ12" s="723"/>
      <c r="AK12" s="896"/>
      <c r="AL12" s="896"/>
      <c r="AM12" s="723"/>
      <c r="AN12" s="723"/>
      <c r="AO12" s="723"/>
      <c r="AP12" s="723"/>
      <c r="AQ12" s="723"/>
      <c r="AR12" s="723"/>
    </row>
    <row r="13" spans="1:47" ht="12.75" customHeight="1">
      <c r="A13" s="13" t="str">
        <f t="shared" ref="A13:A103" si="0">IF(C13="","",C13)</f>
        <v>Ferkel</v>
      </c>
      <c r="B13" s="1346"/>
      <c r="C13" s="1547" t="s">
        <v>161</v>
      </c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35"/>
      <c r="S13" s="35"/>
      <c r="T13" s="1035"/>
      <c r="U13" s="35"/>
      <c r="V13" s="35"/>
      <c r="W13" s="1036"/>
      <c r="X13" s="35"/>
      <c r="Y13" s="35"/>
      <c r="Z13" s="524"/>
      <c r="AA13" s="524"/>
      <c r="AB13" s="523"/>
      <c r="AC13" s="525"/>
    </row>
    <row r="14" spans="1:47" ht="7.5" customHeight="1">
      <c r="B14" s="1346"/>
      <c r="C14" s="1547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35"/>
      <c r="S14" s="35"/>
      <c r="T14" s="1035"/>
      <c r="U14" s="35"/>
      <c r="V14" s="35"/>
      <c r="W14" s="1036"/>
      <c r="X14" s="35"/>
      <c r="Y14" s="35"/>
      <c r="Z14" s="524"/>
      <c r="AA14" s="524"/>
      <c r="AB14" s="523"/>
      <c r="AC14" s="525"/>
    </row>
    <row r="15" spans="1:47" ht="12.75" customHeight="1">
      <c r="A15" s="13" t="str">
        <f t="shared" si="0"/>
        <v>Saugferkel</v>
      </c>
      <c r="B15" s="1346" t="str">
        <f>IF(G15=""," ",COUNTA($G11:G$11))</f>
        <v xml:space="preserve"> </v>
      </c>
      <c r="C15" s="1548" t="s">
        <v>399</v>
      </c>
      <c r="E15" s="39" t="s">
        <v>96</v>
      </c>
      <c r="O15" s="39" t="s">
        <v>96</v>
      </c>
      <c r="P15" s="39" t="s">
        <v>96</v>
      </c>
      <c r="R15" s="39" t="s">
        <v>96</v>
      </c>
      <c r="S15" s="24"/>
      <c r="T15" s="1037"/>
      <c r="U15" s="35"/>
      <c r="V15" s="35"/>
      <c r="W15" s="1036"/>
      <c r="X15" s="24"/>
      <c r="Y15" s="24"/>
      <c r="AA15" s="49"/>
    </row>
    <row r="16" spans="1:47" ht="12.75" customHeight="1">
      <c r="A16" s="13" t="str">
        <f t="shared" si="0"/>
        <v>Saugferkel 5 - 8 kg LM  - Prestarter</v>
      </c>
      <c r="B16" s="1346">
        <f>IF(G16=""," ",COUNTA($G$11:G15))</f>
        <v>1</v>
      </c>
      <c r="C16" s="1549" t="s">
        <v>426</v>
      </c>
      <c r="D16" s="124">
        <v>13.8</v>
      </c>
      <c r="E16" s="1268">
        <f>185*D16/13.8</f>
        <v>185</v>
      </c>
      <c r="F16" s="65">
        <f>ROUND(E16*0.92,0)</f>
        <v>170</v>
      </c>
      <c r="G16" s="40">
        <f>D16</f>
        <v>13.8</v>
      </c>
      <c r="H16" s="40">
        <f>D16*0.92</f>
        <v>12.696000000000002</v>
      </c>
      <c r="I16" s="40">
        <f>G16*0.53</f>
        <v>7.3140000000000009</v>
      </c>
      <c r="J16" s="40">
        <f>H16*0.53</f>
        <v>6.7288800000000011</v>
      </c>
      <c r="K16" s="40">
        <f>G16*0.63</f>
        <v>8.6940000000000008</v>
      </c>
      <c r="L16" s="40">
        <f>H16*0.63</f>
        <v>7.9984800000000007</v>
      </c>
      <c r="M16" s="40">
        <f>G16*0.18</f>
        <v>2.484</v>
      </c>
      <c r="N16" s="40">
        <f>H16*0.18</f>
        <v>2.2852800000000002</v>
      </c>
      <c r="O16" s="40">
        <f>D16*0.615</f>
        <v>8.4870000000000001</v>
      </c>
      <c r="P16" s="40">
        <f>D16*0.4</f>
        <v>5.5200000000000005</v>
      </c>
      <c r="Q16" s="40">
        <f>D16*0.25</f>
        <v>3.45</v>
      </c>
      <c r="R16" s="40">
        <f>1.5*D16/13.8</f>
        <v>1.5000000000000002</v>
      </c>
      <c r="S16" s="40">
        <f>1.5*D16/13.8</f>
        <v>1.5000000000000002</v>
      </c>
      <c r="T16" s="1037">
        <v>1</v>
      </c>
      <c r="U16" s="64">
        <f>ROUND(I16/$G16,2)</f>
        <v>0.53</v>
      </c>
      <c r="V16" s="64">
        <f>ROUND(K16/$G16,2)</f>
        <v>0.63</v>
      </c>
      <c r="W16" s="1038">
        <f>ROUND(M16/$G16,2)</f>
        <v>0.18</v>
      </c>
      <c r="X16" s="51">
        <f>ROUND(G16/D16,2)</f>
        <v>1</v>
      </c>
      <c r="Y16" s="51">
        <f>H16/D16</f>
        <v>0.92</v>
      </c>
      <c r="Z16" s="51">
        <f>ROUND(O16/P16,2)</f>
        <v>1.54</v>
      </c>
      <c r="AA16" s="51">
        <f>ROUND(O16/Q16,2)</f>
        <v>2.46</v>
      </c>
      <c r="AB16" s="153"/>
      <c r="AC16" s="50" t="s">
        <v>313</v>
      </c>
      <c r="AD16" s="40">
        <f>I16*0.525</f>
        <v>3.8398500000000007</v>
      </c>
      <c r="AE16" s="714">
        <f>J16*0.525</f>
        <v>3.5326620000000006</v>
      </c>
      <c r="AF16" s="714">
        <f>G16*100/E16</f>
        <v>7.4594594594594597</v>
      </c>
      <c r="AN16" s="719">
        <v>16000</v>
      </c>
      <c r="AO16" s="719">
        <v>2000</v>
      </c>
      <c r="AP16" s="719">
        <v>100</v>
      </c>
      <c r="AR16" s="1354">
        <v>700</v>
      </c>
      <c r="AS16" s="1354"/>
      <c r="AT16" s="1355"/>
    </row>
    <row r="17" spans="1:46" ht="12.75" customHeight="1">
      <c r="A17" s="13" t="str">
        <f t="shared" si="0"/>
        <v>Absetzfutter</v>
      </c>
      <c r="B17" s="1346" t="str">
        <f>IF(G17=""," ",COUNTA($G$11:G16))</f>
        <v xml:space="preserve"> </v>
      </c>
      <c r="C17" s="1548" t="s">
        <v>425</v>
      </c>
      <c r="E17" s="1267" t="s">
        <v>96</v>
      </c>
      <c r="F17" s="65"/>
      <c r="G17" s="40"/>
      <c r="H17" s="40"/>
      <c r="I17" s="40"/>
      <c r="J17" s="40"/>
      <c r="K17" s="40"/>
      <c r="L17" s="40"/>
      <c r="M17" s="40"/>
      <c r="N17" s="40"/>
      <c r="O17" s="41" t="s">
        <v>96</v>
      </c>
      <c r="P17" s="41" t="s">
        <v>96</v>
      </c>
      <c r="Q17" s="40"/>
      <c r="R17" s="39" t="s">
        <v>96</v>
      </c>
      <c r="S17" s="40"/>
      <c r="T17" s="1037"/>
      <c r="U17" s="64"/>
      <c r="V17" s="64"/>
      <c r="W17" s="1038"/>
      <c r="X17" s="51"/>
      <c r="Y17" s="51"/>
      <c r="Z17" s="51"/>
      <c r="AA17" s="51"/>
      <c r="AD17" s="40"/>
      <c r="AE17" s="714"/>
      <c r="AF17" s="714"/>
    </row>
    <row r="18" spans="1:46" ht="12.75" customHeight="1">
      <c r="A18" s="13" t="str">
        <f t="shared" si="0"/>
        <v>Ferkel 8 - 12 kg LM - Absetzfutter</v>
      </c>
      <c r="B18" s="1346">
        <f>IF(G18=""," ",COUNTA($G$11:G17))</f>
        <v>2</v>
      </c>
      <c r="C18" s="1550" t="s">
        <v>427</v>
      </c>
      <c r="D18" s="124">
        <v>13.8</v>
      </c>
      <c r="E18" s="1268">
        <f>185*D18/13.8</f>
        <v>185</v>
      </c>
      <c r="F18" s="65">
        <f>ROUND(E18*0.91,0)</f>
        <v>168</v>
      </c>
      <c r="G18" s="40">
        <f>D18</f>
        <v>13.8</v>
      </c>
      <c r="H18" s="40">
        <f>D18*0.91</f>
        <v>12.558000000000002</v>
      </c>
      <c r="I18" s="40">
        <f>G18*0.53</f>
        <v>7.3140000000000009</v>
      </c>
      <c r="J18" s="40">
        <f t="shared" ref="J18:J24" si="1">H18*0.53</f>
        <v>6.6557400000000015</v>
      </c>
      <c r="K18" s="40">
        <f>G18*0.63</f>
        <v>8.6940000000000008</v>
      </c>
      <c r="L18" s="40">
        <f t="shared" ref="L18:L24" si="2">H18*0.63</f>
        <v>7.9115400000000013</v>
      </c>
      <c r="M18" s="40">
        <f>G18*0.18</f>
        <v>2.484</v>
      </c>
      <c r="N18" s="40">
        <f>H18*0.18</f>
        <v>2.26044</v>
      </c>
      <c r="O18" s="40">
        <f>D18*0.54</f>
        <v>7.4520000000000008</v>
      </c>
      <c r="P18" s="40">
        <f>D18*0.4</f>
        <v>5.5200000000000005</v>
      </c>
      <c r="Q18" s="40">
        <f>D18*0.25</f>
        <v>3.45</v>
      </c>
      <c r="R18" s="40">
        <f>1.5*D18/13.8</f>
        <v>1.5000000000000002</v>
      </c>
      <c r="S18" s="40">
        <f>1.5*D18/13.8</f>
        <v>1.5000000000000002</v>
      </c>
      <c r="T18" s="1037">
        <v>1</v>
      </c>
      <c r="U18" s="64">
        <f>ROUND(I18/$G18,2)</f>
        <v>0.53</v>
      </c>
      <c r="V18" s="64">
        <f>ROUND(K18/$G18,2)</f>
        <v>0.63</v>
      </c>
      <c r="W18" s="1038">
        <f>ROUND(M18/$G18,2)</f>
        <v>0.18</v>
      </c>
      <c r="X18" s="51">
        <f>ROUND(G18/D18,2)</f>
        <v>1</v>
      </c>
      <c r="Y18" s="51">
        <f>H18/D18</f>
        <v>0.91</v>
      </c>
      <c r="Z18" s="51">
        <f>ROUND(O18/P18,2)</f>
        <v>1.35</v>
      </c>
      <c r="AA18" s="51">
        <f>ROUND(O18/Q18,2)</f>
        <v>2.16</v>
      </c>
      <c r="AB18" s="153">
        <v>40</v>
      </c>
      <c r="AC18" s="50">
        <v>40</v>
      </c>
      <c r="AD18" s="40">
        <f>I18*0.525</f>
        <v>3.8398500000000007</v>
      </c>
      <c r="AE18" s="714">
        <f>J18*0.525</f>
        <v>3.4942635000000011</v>
      </c>
      <c r="AF18" s="714">
        <f>G18*100/E18</f>
        <v>7.4594594594594597</v>
      </c>
      <c r="AG18" s="719">
        <v>60</v>
      </c>
      <c r="AN18" s="719">
        <v>14000</v>
      </c>
      <c r="AO18" s="719">
        <v>1800</v>
      </c>
      <c r="AP18" s="719">
        <v>80</v>
      </c>
      <c r="AR18" s="1354">
        <v>700</v>
      </c>
      <c r="AS18" s="1354">
        <v>60</v>
      </c>
      <c r="AT18" s="1355">
        <v>110</v>
      </c>
    </row>
    <row r="19" spans="1:46" ht="12.75" customHeight="1">
      <c r="A19" s="13" t="str">
        <f t="shared" si="0"/>
        <v>Diät-Absetzfutter</v>
      </c>
      <c r="B19" s="1346" t="str">
        <f>IF(G19=""," ",COUNTA($G$11:G18))</f>
        <v xml:space="preserve"> </v>
      </c>
      <c r="C19" s="1548" t="s">
        <v>429</v>
      </c>
      <c r="E19" s="1266"/>
      <c r="F19" s="65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0"/>
      <c r="R19" s="40"/>
      <c r="S19" s="40"/>
      <c r="T19" s="1037"/>
      <c r="U19" s="64"/>
      <c r="V19" s="64"/>
      <c r="W19" s="1038"/>
      <c r="X19" s="51"/>
      <c r="Y19" s="51"/>
      <c r="Z19" s="51"/>
      <c r="AA19" s="51"/>
      <c r="AD19" s="40"/>
      <c r="AE19" s="714"/>
      <c r="AF19" s="714"/>
    </row>
    <row r="20" spans="1:46" ht="12.75" customHeight="1">
      <c r="A20" s="13" t="str">
        <f t="shared" si="0"/>
        <v>Ferkel 8 - 12 kg LM - Diät-Absetzfutter</v>
      </c>
      <c r="B20" s="1346">
        <f>IF(G20=""," ",COUNTA($G$11:G19))</f>
        <v>3</v>
      </c>
      <c r="C20" s="1550" t="s">
        <v>428</v>
      </c>
      <c r="D20" s="124">
        <v>13.8</v>
      </c>
      <c r="E20" s="1268">
        <f>160*D20/13.8</f>
        <v>160</v>
      </c>
      <c r="F20" s="65">
        <f>ROUND(E20*0.91,0)</f>
        <v>146</v>
      </c>
      <c r="G20" s="40">
        <f>D20</f>
        <v>13.8</v>
      </c>
      <c r="H20" s="40">
        <f>D20*0.91</f>
        <v>12.558000000000002</v>
      </c>
      <c r="I20" s="40">
        <f>G20*0.53</f>
        <v>7.3140000000000009</v>
      </c>
      <c r="J20" s="40">
        <f t="shared" si="1"/>
        <v>6.6557400000000015</v>
      </c>
      <c r="K20" s="40">
        <f>G20*0.63</f>
        <v>8.6940000000000008</v>
      </c>
      <c r="L20" s="40">
        <f t="shared" si="2"/>
        <v>7.9115400000000013</v>
      </c>
      <c r="M20" s="40">
        <f>G20*0.18</f>
        <v>2.484</v>
      </c>
      <c r="N20" s="40">
        <f>H20*0.18</f>
        <v>2.26044</v>
      </c>
      <c r="O20" s="40">
        <f>D20*0.47</f>
        <v>6.4859999999999998</v>
      </c>
      <c r="P20" s="40">
        <f>D20*0.365</f>
        <v>5.0369999999999999</v>
      </c>
      <c r="Q20" s="40">
        <f>D20*0.24</f>
        <v>3.3119999999999998</v>
      </c>
      <c r="R20" s="40">
        <f>1.5*D20/13.8</f>
        <v>1.5000000000000002</v>
      </c>
      <c r="S20" s="40">
        <f>1.5*D20/13.8</f>
        <v>1.5000000000000002</v>
      </c>
      <c r="T20" s="1037">
        <v>1</v>
      </c>
      <c r="U20" s="64">
        <f>ROUND(I20/$G20,2)</f>
        <v>0.53</v>
      </c>
      <c r="V20" s="64">
        <f>ROUND(K20/$G20,2)</f>
        <v>0.63</v>
      </c>
      <c r="W20" s="1038">
        <f>ROUND(M20/$G20,2)</f>
        <v>0.18</v>
      </c>
      <c r="X20" s="51">
        <f>ROUND(G20/D20,2)</f>
        <v>1</v>
      </c>
      <c r="Y20" s="51">
        <f>H20/D20</f>
        <v>0.91</v>
      </c>
      <c r="Z20" s="51">
        <f>ROUND(O20/P20,2)</f>
        <v>1.29</v>
      </c>
      <c r="AA20" s="51">
        <f>ROUND(O20/Q20,2)</f>
        <v>1.96</v>
      </c>
      <c r="AB20" s="153">
        <v>40</v>
      </c>
      <c r="AC20" s="50" t="s">
        <v>430</v>
      </c>
      <c r="AD20" s="40">
        <f>I20*0.525</f>
        <v>3.8398500000000007</v>
      </c>
      <c r="AE20" s="714">
        <f>J20*0.525</f>
        <v>3.4942635000000011</v>
      </c>
      <c r="AF20" s="714">
        <f>G20*100/E20</f>
        <v>8.625</v>
      </c>
      <c r="AG20" s="719">
        <v>60</v>
      </c>
      <c r="AN20" s="719">
        <v>14000</v>
      </c>
      <c r="AO20" s="719">
        <v>1800</v>
      </c>
      <c r="AP20" s="719">
        <v>80</v>
      </c>
      <c r="AR20" s="1354">
        <v>700</v>
      </c>
      <c r="AS20" s="1354">
        <v>60</v>
      </c>
      <c r="AT20" s="1355">
        <v>110</v>
      </c>
    </row>
    <row r="21" spans="1:46" ht="12.75" customHeight="1">
      <c r="A21" s="13" t="str">
        <f t="shared" si="0"/>
        <v>Ferkelaufzuchtfutter I</v>
      </c>
      <c r="B21" s="1346" t="str">
        <f>IF(G21=""," ",COUNTA($G$11:G20))</f>
        <v xml:space="preserve"> </v>
      </c>
      <c r="C21" s="1548" t="s">
        <v>1016</v>
      </c>
      <c r="E21" s="1267" t="s">
        <v>96</v>
      </c>
      <c r="J21" s="40"/>
      <c r="L21" s="40"/>
      <c r="O21" s="39" t="s">
        <v>96</v>
      </c>
      <c r="P21" s="39" t="s">
        <v>96</v>
      </c>
      <c r="R21" s="39" t="s">
        <v>96</v>
      </c>
      <c r="S21" s="24"/>
      <c r="T21" s="1037"/>
      <c r="U21" s="35"/>
      <c r="V21" s="35"/>
      <c r="W21" s="1036"/>
      <c r="X21" s="24"/>
      <c r="Y21" s="24"/>
      <c r="AA21" s="49"/>
      <c r="AD21" s="40"/>
      <c r="AE21" s="714"/>
      <c r="AF21" s="714"/>
    </row>
    <row r="22" spans="1:46" ht="12.75" customHeight="1">
      <c r="A22" s="13" t="str">
        <f t="shared" si="0"/>
        <v>Ferkel 12 - 20 kg LM - Ferkelaufzuchtfutter I</v>
      </c>
      <c r="B22" s="1346">
        <f>IF(G22=""," ",COUNTA($G$11:G21))</f>
        <v>4</v>
      </c>
      <c r="C22" s="1349" t="s">
        <v>1019</v>
      </c>
      <c r="D22" s="124">
        <v>13.8</v>
      </c>
      <c r="E22" s="1268">
        <f>185*D22/13.8</f>
        <v>185</v>
      </c>
      <c r="F22" s="65">
        <f>ROUND(E22*0.91,0)</f>
        <v>168</v>
      </c>
      <c r="G22" s="40">
        <f>D22*0.95</f>
        <v>13.11</v>
      </c>
      <c r="H22" s="40">
        <f>D22*0.854</f>
        <v>11.7852</v>
      </c>
      <c r="I22" s="40">
        <f>G22*0.53</f>
        <v>6.9482999999999997</v>
      </c>
      <c r="J22" s="40">
        <f t="shared" si="1"/>
        <v>6.246156</v>
      </c>
      <c r="K22" s="40">
        <f>G22*0.63</f>
        <v>8.2592999999999996</v>
      </c>
      <c r="L22" s="40">
        <f t="shared" si="2"/>
        <v>7.4246759999999998</v>
      </c>
      <c r="M22" s="40">
        <f>G22*0.18</f>
        <v>2.3597999999999999</v>
      </c>
      <c r="N22" s="40">
        <f>H22*0.18</f>
        <v>2.1213359999999999</v>
      </c>
      <c r="O22" s="40">
        <f>D22*0.54</f>
        <v>7.4520000000000008</v>
      </c>
      <c r="P22" s="40">
        <f>D22*0.4</f>
        <v>5.5200000000000005</v>
      </c>
      <c r="Q22" s="40">
        <f>D22*0.25</f>
        <v>3.45</v>
      </c>
      <c r="R22" s="40">
        <f>1.5*D22/13.8</f>
        <v>1.5000000000000002</v>
      </c>
      <c r="S22" s="40">
        <f>1.5*D22/13.8</f>
        <v>1.5000000000000002</v>
      </c>
      <c r="T22" s="1037">
        <v>1</v>
      </c>
      <c r="U22" s="64">
        <f>ROUND(I22/$G22,2)</f>
        <v>0.53</v>
      </c>
      <c r="V22" s="64">
        <f>ROUND(K22/$G22,2)</f>
        <v>0.63</v>
      </c>
      <c r="W22" s="1038">
        <f>ROUND(M22/$G22,2)</f>
        <v>0.18</v>
      </c>
      <c r="X22" s="51">
        <f>ROUND(G22/D22,2)</f>
        <v>0.95</v>
      </c>
      <c r="Y22" s="51">
        <f>H22/D22</f>
        <v>0.85399999999999998</v>
      </c>
      <c r="Z22" s="51">
        <f>ROUND(O22/P22,2)</f>
        <v>1.35</v>
      </c>
      <c r="AA22" s="51">
        <f>ROUND(O22/Q22,2)</f>
        <v>2.16</v>
      </c>
      <c r="AB22" s="153">
        <v>35</v>
      </c>
      <c r="AC22" s="50">
        <v>35</v>
      </c>
      <c r="AD22" s="40">
        <f>I22*0.525</f>
        <v>3.6478575000000002</v>
      </c>
      <c r="AE22" s="714">
        <f>J22*0.525</f>
        <v>3.2792319000000001</v>
      </c>
      <c r="AF22" s="714">
        <f>G22*100/E22</f>
        <v>7.0864864864864865</v>
      </c>
      <c r="AG22" s="719">
        <v>60</v>
      </c>
      <c r="AN22" s="719">
        <v>14000</v>
      </c>
      <c r="AO22" s="719">
        <v>1800</v>
      </c>
      <c r="AP22" s="719">
        <v>80</v>
      </c>
      <c r="AR22" s="1354">
        <v>700</v>
      </c>
      <c r="AS22" s="1354">
        <v>60</v>
      </c>
      <c r="AT22" s="1355">
        <v>110</v>
      </c>
    </row>
    <row r="23" spans="1:46" ht="12.75" customHeight="1">
      <c r="A23" s="13" t="str">
        <f t="shared" si="0"/>
        <v>Ferkelaufzuchtfutter II</v>
      </c>
      <c r="B23" s="1346" t="str">
        <f>IF(G23=""," ",COUNTA($G$11:G22))</f>
        <v xml:space="preserve"> </v>
      </c>
      <c r="C23" s="1548" t="s">
        <v>1017</v>
      </c>
      <c r="E23" s="1267" t="s">
        <v>96</v>
      </c>
      <c r="F23" s="65"/>
      <c r="G23" s="40"/>
      <c r="H23" s="40"/>
      <c r="I23" s="40"/>
      <c r="J23" s="40"/>
      <c r="K23" s="40"/>
      <c r="L23" s="40"/>
      <c r="M23" s="40"/>
      <c r="N23" s="40"/>
      <c r="O23" s="41" t="s">
        <v>96</v>
      </c>
      <c r="P23" s="41" t="s">
        <v>96</v>
      </c>
      <c r="Q23" s="40"/>
      <c r="R23" s="39" t="s">
        <v>96</v>
      </c>
      <c r="S23" s="40"/>
      <c r="T23" s="1037"/>
      <c r="U23" s="64"/>
      <c r="V23" s="64"/>
      <c r="W23" s="1038"/>
      <c r="X23" s="51"/>
      <c r="Y23" s="51"/>
      <c r="Z23" s="51"/>
      <c r="AA23" s="51"/>
      <c r="AD23" s="40"/>
      <c r="AE23" s="714"/>
      <c r="AF23" s="714"/>
    </row>
    <row r="24" spans="1:46" ht="12.75" customHeight="1" thickBot="1">
      <c r="A24" s="13" t="str">
        <f t="shared" si="0"/>
        <v>Ferkel 20 - 30 kg LM - Ferkelaufzuchtfutter II</v>
      </c>
      <c r="B24" s="1346">
        <f>IF(G24=""," ",COUNTA($G$11:G23))</f>
        <v>5</v>
      </c>
      <c r="C24" s="1051" t="s">
        <v>1018</v>
      </c>
      <c r="D24" s="1043">
        <v>13.4</v>
      </c>
      <c r="E24" s="1269">
        <f>180*D24/13.4</f>
        <v>180</v>
      </c>
      <c r="F24" s="66">
        <f>ROUND(E24*0.9,0)</f>
        <v>162</v>
      </c>
      <c r="G24" s="42">
        <f>D24*0.9</f>
        <v>12.06</v>
      </c>
      <c r="H24" s="42">
        <f>D24*0.81</f>
        <v>10.854000000000001</v>
      </c>
      <c r="I24" s="42">
        <f>G24*0.53</f>
        <v>6.3918000000000008</v>
      </c>
      <c r="J24" s="42">
        <f t="shared" si="1"/>
        <v>5.7526200000000012</v>
      </c>
      <c r="K24" s="42">
        <f>G24*0.63</f>
        <v>7.5978000000000003</v>
      </c>
      <c r="L24" s="42">
        <f t="shared" si="2"/>
        <v>6.8380200000000011</v>
      </c>
      <c r="M24" s="42">
        <f>G24*0.18</f>
        <v>2.1707999999999998</v>
      </c>
      <c r="N24" s="42">
        <f>H24*0.18</f>
        <v>1.9537200000000001</v>
      </c>
      <c r="O24" s="42">
        <f>D24*0.56</f>
        <v>7.5040000000000013</v>
      </c>
      <c r="P24" s="42">
        <f>D24*0.37</f>
        <v>4.9580000000000002</v>
      </c>
      <c r="Q24" s="42">
        <f>D24*0.245</f>
        <v>3.2829999999999999</v>
      </c>
      <c r="R24" s="42">
        <f>1.5*D24/13.4</f>
        <v>1.5</v>
      </c>
      <c r="S24" s="42">
        <f>1.5*D24/13.4</f>
        <v>1.5</v>
      </c>
      <c r="T24" s="1039">
        <v>1</v>
      </c>
      <c r="U24" s="52">
        <f>ROUND(I24/$G24,2)</f>
        <v>0.53</v>
      </c>
      <c r="V24" s="52">
        <f>ROUND(K24/$G24,2)</f>
        <v>0.63</v>
      </c>
      <c r="W24" s="1040">
        <f>ROUND(M24/$G24,2)</f>
        <v>0.18</v>
      </c>
      <c r="X24" s="52">
        <f>ROUND(G24/D24,2)</f>
        <v>0.9</v>
      </c>
      <c r="Y24" s="52">
        <f>H24/D24</f>
        <v>0.81</v>
      </c>
      <c r="Z24" s="52">
        <f>ROUND(O24/P24,2)</f>
        <v>1.51</v>
      </c>
      <c r="AA24" s="52">
        <f>ROUND(O24/Q24,2)</f>
        <v>2.29</v>
      </c>
      <c r="AB24" s="155">
        <v>35</v>
      </c>
      <c r="AC24" s="158" t="s">
        <v>418</v>
      </c>
      <c r="AD24" s="42">
        <f>I24*0.525</f>
        <v>3.3556950000000008</v>
      </c>
      <c r="AE24" s="727">
        <f>J24*0.525</f>
        <v>3.0201255000000007</v>
      </c>
      <c r="AF24" s="727">
        <f>G24*100/E24</f>
        <v>6.7</v>
      </c>
      <c r="AG24" s="719">
        <v>50</v>
      </c>
      <c r="AN24" s="719">
        <v>14000</v>
      </c>
      <c r="AO24" s="719">
        <v>1800</v>
      </c>
      <c r="AP24" s="719">
        <v>80</v>
      </c>
      <c r="AR24" s="1354">
        <v>700</v>
      </c>
      <c r="AS24" s="1354">
        <v>60</v>
      </c>
      <c r="AT24" s="1355">
        <v>110</v>
      </c>
    </row>
    <row r="25" spans="1:46" ht="7.5" customHeight="1">
      <c r="B25" s="1346"/>
      <c r="C25" s="1550"/>
      <c r="D25" s="35"/>
      <c r="E25" s="35"/>
      <c r="F25" s="6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1037"/>
      <c r="U25" s="64"/>
      <c r="V25" s="64"/>
      <c r="W25" s="1038"/>
      <c r="X25" s="64"/>
      <c r="Y25" s="64"/>
      <c r="Z25" s="64"/>
      <c r="AA25" s="64"/>
      <c r="AB25" s="35"/>
      <c r="AC25" s="159"/>
      <c r="AD25" s="43"/>
      <c r="AE25" s="726"/>
      <c r="AF25" s="726"/>
    </row>
    <row r="26" spans="1:46">
      <c r="A26" s="13" t="str">
        <f t="shared" si="0"/>
        <v>Mastschweine</v>
      </c>
      <c r="B26" s="1346" t="str">
        <f>IF(G26=""," ",COUNTA($G$11:G24))</f>
        <v xml:space="preserve"> </v>
      </c>
      <c r="C26" s="1547" t="s">
        <v>90</v>
      </c>
      <c r="D26" s="83" t="str">
        <f>IF(Futterberechnung!B10="w",'Futterkurve Mast'!J52,IF(Futterberechnung!B10="m",'Futterkurve Mast'!J88,'Futterkurve Mast'!B9))</f>
        <v>Mast beider Geschlechter</v>
      </c>
      <c r="E26" s="84"/>
      <c r="F26" s="65"/>
      <c r="G26" s="85"/>
      <c r="H26" s="85"/>
      <c r="I26" s="85"/>
      <c r="J26" s="85"/>
      <c r="K26" s="85"/>
      <c r="L26" s="40"/>
      <c r="M26" s="40"/>
      <c r="N26" s="40"/>
      <c r="O26" s="40"/>
      <c r="P26" s="40"/>
      <c r="Q26" s="40"/>
      <c r="R26" s="40"/>
      <c r="S26" s="40"/>
      <c r="T26" s="1037"/>
      <c r="U26" s="64"/>
      <c r="V26" s="64"/>
      <c r="W26" s="1038"/>
      <c r="X26" s="51"/>
      <c r="Y26" s="51"/>
      <c r="Z26" s="51"/>
      <c r="AA26" s="51"/>
      <c r="AD26" s="40"/>
      <c r="AE26" s="714"/>
      <c r="AF26" s="714"/>
    </row>
    <row r="27" spans="1:46" ht="7.5" customHeight="1">
      <c r="B27" s="1346"/>
      <c r="C27" s="1547"/>
      <c r="D27" s="83"/>
      <c r="E27" s="84"/>
      <c r="F27" s="65"/>
      <c r="G27" s="85"/>
      <c r="H27" s="85"/>
      <c r="I27" s="85"/>
      <c r="J27" s="85"/>
      <c r="K27" s="85"/>
      <c r="L27" s="40"/>
      <c r="M27" s="40"/>
      <c r="N27" s="40"/>
      <c r="O27" s="40"/>
      <c r="P27" s="40"/>
      <c r="Q27" s="40"/>
      <c r="R27" s="40"/>
      <c r="S27" s="40"/>
      <c r="T27" s="1037"/>
      <c r="U27" s="64"/>
      <c r="V27" s="64"/>
      <c r="W27" s="1038"/>
      <c r="X27" s="51"/>
      <c r="Y27" s="51"/>
      <c r="Z27" s="51"/>
      <c r="AA27" s="51"/>
      <c r="AD27" s="40"/>
      <c r="AE27" s="714"/>
      <c r="AF27" s="714"/>
    </row>
    <row r="28" spans="1:46">
      <c r="A28" s="13" t="str">
        <f t="shared" si="0"/>
        <v>Vormast</v>
      </c>
      <c r="B28" s="1346" t="str">
        <f>IF(G28=""," ",COUNTA($G$11:G26))</f>
        <v xml:space="preserve"> </v>
      </c>
      <c r="C28" s="1548" t="s">
        <v>91</v>
      </c>
      <c r="F28" s="6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3"/>
      <c r="S28" s="43"/>
      <c r="T28" s="1037"/>
      <c r="U28" s="64"/>
      <c r="V28" s="64"/>
      <c r="W28" s="1038"/>
      <c r="X28" s="51"/>
      <c r="Y28" s="51"/>
      <c r="Z28" s="51"/>
      <c r="AA28" s="51"/>
      <c r="AD28" s="40"/>
      <c r="AE28" s="714"/>
      <c r="AF28" s="714"/>
    </row>
    <row r="29" spans="1:46">
      <c r="A29" s="13" t="str">
        <f t="shared" si="0"/>
        <v>28 - 40 Kg LM</v>
      </c>
      <c r="B29" s="1346" t="str">
        <f>IF(G29=""," ",COUNTA($G$11:G28))</f>
        <v xml:space="preserve"> </v>
      </c>
      <c r="C29" s="1551" t="s">
        <v>92</v>
      </c>
      <c r="F29" s="6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3"/>
      <c r="S29" s="43"/>
      <c r="T29" s="1037"/>
      <c r="U29" s="64"/>
      <c r="V29" s="64"/>
      <c r="W29" s="1038"/>
      <c r="X29" s="51"/>
      <c r="Y29" s="51"/>
      <c r="Z29" s="51"/>
      <c r="AA29" s="51"/>
      <c r="AD29" s="40"/>
      <c r="AE29" s="714"/>
      <c r="AF29" s="714"/>
    </row>
    <row r="30" spans="1:46">
      <c r="A30" s="13" t="str">
        <f t="shared" si="0"/>
        <v>Vormast 28 - 40 Kg LM für 750 g TZ*</v>
      </c>
      <c r="B30" s="1346">
        <f>IF(G30=""," ",COUNTA($G$11:G29))</f>
        <v>6</v>
      </c>
      <c r="C30" s="1550" t="str">
        <f>IF(Futterberechnung!$B$10="","Vormast 28 - 40 Kg LM für 750 g TZ*",IF(Futterberechnung!$B$10="w","Vormast 28 - 40 Kg LM für 720 g TZ*",IF(Futterberechnung!$B$10="m","Vormast 28 - 40 Kg LM für 770 g TZ*","Vormast 28 - 40 Kg LM für 750 g TZ*")))</f>
        <v>Vormast 28 - 40 Kg LM für 750 g TZ*</v>
      </c>
      <c r="D30" s="162">
        <f>'Futterkurve Mast'!E$7</f>
        <v>13.4</v>
      </c>
      <c r="E30" s="1262">
        <f>IF(AND(Futterberechnung!$B$10="m",'Futterkurve Mast'!$T$6="hp"),(175*D30/13.4)-(175*D30/13.4)*0.03,IF(Futterberechnung!$B$10="m",(170*D30/13.4)-(170*D30/13.4)*0.03,IF('Futterkurve Mast'!$T$6="HP",175*D30/13.4,170*D30/13.4)))</f>
        <v>170</v>
      </c>
      <c r="F30" s="65">
        <f>ROUND(E30*0.89,0)</f>
        <v>151</v>
      </c>
      <c r="G30" s="40">
        <f>H30/0.89</f>
        <v>11.060824806980103</v>
      </c>
      <c r="H30" s="40">
        <f>IF(Futterberechnung!B$10=" ",'Futterkurve Mast'!E20,IF(Futterberechnung!B$10="W",'Futterkurve Mast'!E60,IF(Futterberechnung!B$10="M",'Futterkurve Mast'!E96,'Futterkurve Mast'!E20)))</f>
        <v>9.8441340782122921</v>
      </c>
      <c r="I30" s="43">
        <f t="shared" ref="I30:J32" si="3">G30*0.55</f>
        <v>6.0834536438390572</v>
      </c>
      <c r="J30" s="40">
        <f t="shared" si="3"/>
        <v>5.4142737430167607</v>
      </c>
      <c r="K30" s="40">
        <f t="shared" ref="K30:L32" si="4">G30*0.65</f>
        <v>7.1895361245370673</v>
      </c>
      <c r="L30" s="40">
        <f t="shared" si="4"/>
        <v>6.3986871508379899</v>
      </c>
      <c r="M30" s="40">
        <f t="shared" ref="M30:N32" si="5">G30*0.18</f>
        <v>1.9909484652564184</v>
      </c>
      <c r="N30" s="40">
        <f t="shared" si="5"/>
        <v>1.7719441340782125</v>
      </c>
      <c r="O30" s="43">
        <f>Q30*2.18</f>
        <v>6.2014301675977661</v>
      </c>
      <c r="P30" s="43">
        <f>O30/1.3</f>
        <v>4.7703308981521273</v>
      </c>
      <c r="Q30" s="40">
        <f>'Futterkurve Mast'!E19</f>
        <v>2.8446927374301678</v>
      </c>
      <c r="R30" s="43">
        <f>D30*1/13.4</f>
        <v>1</v>
      </c>
      <c r="S30" s="43">
        <f>0.15*D30</f>
        <v>2.0099999999999998</v>
      </c>
      <c r="T30" s="1037">
        <v>1</v>
      </c>
      <c r="U30" s="64">
        <f>ROUND(I30/$G30,2)</f>
        <v>0.55000000000000004</v>
      </c>
      <c r="V30" s="64">
        <f>ROUND(K30/$G30,2)</f>
        <v>0.65</v>
      </c>
      <c r="W30" s="1038">
        <f>ROUND(M30/$G30,2)</f>
        <v>0.18</v>
      </c>
      <c r="X30" s="51">
        <f>ROUND(G30/D30,2)</f>
        <v>0.83</v>
      </c>
      <c r="Y30" s="51">
        <f>H30/D30</f>
        <v>0.73463687150837997</v>
      </c>
      <c r="Z30" s="51">
        <f>ROUND(O30/P30,2)</f>
        <v>1.3</v>
      </c>
      <c r="AA30" s="51">
        <f>ROUND(O30/Q30,2)</f>
        <v>2.1800000000000002</v>
      </c>
      <c r="AB30" s="154">
        <v>40</v>
      </c>
      <c r="AC30" s="159" t="s">
        <v>1022</v>
      </c>
      <c r="AD30" s="40">
        <f t="shared" ref="AD30:AE32" si="6">I30*0.525</f>
        <v>3.1938131630155051</v>
      </c>
      <c r="AE30" s="714">
        <f t="shared" si="6"/>
        <v>2.8424937150837994</v>
      </c>
      <c r="AF30" s="714">
        <f>G30*100/E30</f>
        <v>6.5063675335177065</v>
      </c>
      <c r="AH30" s="724"/>
      <c r="AK30" s="40">
        <f>18*$D30/13.4</f>
        <v>18</v>
      </c>
      <c r="AL30" s="40">
        <f>10*$D30/13.4</f>
        <v>10</v>
      </c>
      <c r="AN30" s="719">
        <v>6000</v>
      </c>
      <c r="AO30" s="719">
        <v>1500</v>
      </c>
      <c r="AP30" s="719">
        <v>60</v>
      </c>
      <c r="AS30" s="1354">
        <v>70</v>
      </c>
      <c r="AT30" s="1355">
        <v>120</v>
      </c>
    </row>
    <row r="31" spans="1:46">
      <c r="A31" s="13" t="str">
        <f t="shared" si="0"/>
        <v>Vormast 28 - 40 Kg LM für 850 g TZ*</v>
      </c>
      <c r="B31" s="1346">
        <f>IF(G31=""," ",COUNTA($G$11:G30))</f>
        <v>7</v>
      </c>
      <c r="C31" s="1552" t="str">
        <f>IF(Futterberechnung!$B$10="","Vormast 28 - 40 Kg LM für 850 g TZ*",IF(Futterberechnung!$B$10="w","Vormast 28 - 40 Kg LM für 820 g TZ*",IF(Futterberechnung!$B$10="m","Vormast 28 - 40 Kg LM für 870 g TZ*","Vormast 28 - 40 Kg LM für 850 g TZ*")))</f>
        <v>Vormast 28 - 40 Kg LM für 850 g TZ*</v>
      </c>
      <c r="D31" s="162">
        <f>'Futterkurve Mast'!E$7</f>
        <v>13.4</v>
      </c>
      <c r="E31" s="1262">
        <f>IF(AND(Futterberechnung!$B$10="m",'Futterkurve Mast'!$T$6="hp"),(180*D31/13.4)-(180*D31/13.4)*0.03,IF(Futterberechnung!$B$10="m",(175*D31/13.4)-(175*D31/13.4)*0.03,IF('Futterkurve Mast'!$T$6="HP",180*D31/13.4,175*D31/13.4)))</f>
        <v>175</v>
      </c>
      <c r="F31" s="65">
        <f>ROUND(E31*0.89,0)</f>
        <v>156</v>
      </c>
      <c r="G31" s="40">
        <f>H31/0.89</f>
        <v>11.44576931896354</v>
      </c>
      <c r="H31" s="40">
        <f>IF(Futterberechnung!B$10=" ",'Futterkurve Mast'!E33,IF(Futterberechnung!B$10="W",'Futterkurve Mast'!E71,IF(Futterberechnung!B$10="M",'Futterkurve Mast'!E107,'Futterkurve Mast'!E33)))</f>
        <v>10.18673469387755</v>
      </c>
      <c r="I31" s="43">
        <f t="shared" si="3"/>
        <v>6.2951731254299474</v>
      </c>
      <c r="J31" s="40">
        <f t="shared" si="3"/>
        <v>5.6027040816326537</v>
      </c>
      <c r="K31" s="40">
        <f t="shared" si="4"/>
        <v>7.4397500573263011</v>
      </c>
      <c r="L31" s="40">
        <f t="shared" si="4"/>
        <v>6.6213775510204078</v>
      </c>
      <c r="M31" s="40">
        <f t="shared" si="5"/>
        <v>2.0602384774134372</v>
      </c>
      <c r="N31" s="40">
        <f t="shared" si="5"/>
        <v>1.833612244897959</v>
      </c>
      <c r="O31" s="43">
        <f t="shared" ref="O31:O32" si="7">Q31*2.18</f>
        <v>6.5205357142857148</v>
      </c>
      <c r="P31" s="43">
        <f t="shared" ref="P31:P32" si="8">O31/1.3</f>
        <v>5.0157967032967035</v>
      </c>
      <c r="Q31" s="40">
        <f>'Futterkurve Mast'!E32</f>
        <v>2.9910714285714284</v>
      </c>
      <c r="R31" s="43">
        <f>D31*1/13.4</f>
        <v>1</v>
      </c>
      <c r="S31" s="43">
        <f>0.15*D31</f>
        <v>2.0099999999999998</v>
      </c>
      <c r="T31" s="1037">
        <v>1</v>
      </c>
      <c r="U31" s="64">
        <f>ROUND(I31/$G31,2)</f>
        <v>0.55000000000000004</v>
      </c>
      <c r="V31" s="64">
        <f>ROUND(K31/$G31,2)</f>
        <v>0.65</v>
      </c>
      <c r="W31" s="1038">
        <f>ROUND(M31/$G31,2)</f>
        <v>0.18</v>
      </c>
      <c r="X31" s="51">
        <f>ROUND(G31/D31,2)</f>
        <v>0.85</v>
      </c>
      <c r="Y31" s="51">
        <f>H31/D31</f>
        <v>0.76020408163265296</v>
      </c>
      <c r="Z31" s="51">
        <f>ROUND(O31/P31,2)</f>
        <v>1.3</v>
      </c>
      <c r="AA31" s="51">
        <f>ROUND(O31/Q31,2)</f>
        <v>2.1800000000000002</v>
      </c>
      <c r="AB31" s="154">
        <v>40</v>
      </c>
      <c r="AC31" s="159" t="s">
        <v>1022</v>
      </c>
      <c r="AD31" s="40">
        <f t="shared" si="6"/>
        <v>3.3049658908507227</v>
      </c>
      <c r="AE31" s="714">
        <f t="shared" si="6"/>
        <v>2.9414196428571433</v>
      </c>
      <c r="AF31" s="714">
        <f>G31*100/E31</f>
        <v>6.5404396108363079</v>
      </c>
      <c r="AH31" s="724"/>
      <c r="AK31" s="40">
        <f>18*$D31/13.4</f>
        <v>18</v>
      </c>
      <c r="AL31" s="40">
        <f>10*$D31/13.4</f>
        <v>10</v>
      </c>
      <c r="AN31" s="719">
        <v>6000</v>
      </c>
      <c r="AO31" s="719">
        <v>1500</v>
      </c>
      <c r="AP31" s="719">
        <v>60</v>
      </c>
      <c r="AS31" s="1354">
        <v>70</v>
      </c>
      <c r="AT31" s="1355">
        <v>120</v>
      </c>
    </row>
    <row r="32" spans="1:46">
      <c r="A32" s="13" t="str">
        <f t="shared" si="0"/>
        <v>Vormast 28 - 40 Kg LM für 950 g TZ*</v>
      </c>
      <c r="B32" s="1346">
        <f>IF(G32=""," ",COUNTA($G$11:G31))</f>
        <v>8</v>
      </c>
      <c r="C32" s="1553" t="str">
        <f>IF(Futterberechnung!$B$10="","Vormast 28 - 40 Kg LM für 950 g TZ*",IF(Futterberechnung!$B$10="w","Vormast 28 - 40 Kg LM für 920 g TZ*",IF(Futterberechnung!$B$10="m","Vormast 28 - 40 Kg LM für 970 g TZ*","Vormast 28 - 40 Kg LM für 950 g TZ*")))</f>
        <v>Vormast 28 - 40 Kg LM für 950 g TZ*</v>
      </c>
      <c r="D32" s="163">
        <f>'Futterkurve Mast'!E$7</f>
        <v>13.4</v>
      </c>
      <c r="E32" s="1263">
        <f>IF(AND(Futterberechnung!$B$10="m",'Futterkurve Mast'!$T$6="hp"),(185*D32/13.4)-(190*D32/13.4)*0.03,IF(Futterberechnung!$B$10="m",(180*D32/13.4)-(180*D32/13.4)*0.03,IF('Futterkurve Mast'!$T$6="HP",185*D32/13.4,180*D32/13.4)))</f>
        <v>180</v>
      </c>
      <c r="F32" s="68">
        <f>ROUND(E32*0.89,0)</f>
        <v>160</v>
      </c>
      <c r="G32" s="44">
        <f>H32/0.89</f>
        <v>11.78927284290863</v>
      </c>
      <c r="H32" s="44">
        <f>IF(Futterberechnung!B$10=" ",'Futterkurve Mast'!E46,IF(Futterberechnung!B$10="W",'Futterkurve Mast'!E82,IF(Futterberechnung!B$10="M",'Futterkurve Mast'!E118,'Futterkurve Mast'!E46)))</f>
        <v>10.492452830188681</v>
      </c>
      <c r="I32" s="44">
        <f t="shared" si="3"/>
        <v>6.4841000635997474</v>
      </c>
      <c r="J32" s="44">
        <f t="shared" si="3"/>
        <v>5.7708490566037751</v>
      </c>
      <c r="K32" s="44">
        <f t="shared" si="4"/>
        <v>7.6630273478906101</v>
      </c>
      <c r="L32" s="44">
        <f t="shared" si="4"/>
        <v>6.820094339622643</v>
      </c>
      <c r="M32" s="44">
        <f t="shared" si="5"/>
        <v>2.1220691117235533</v>
      </c>
      <c r="N32" s="44">
        <f t="shared" si="5"/>
        <v>1.8886415094339624</v>
      </c>
      <c r="O32" s="44">
        <f t="shared" si="7"/>
        <v>6.7518301886792464</v>
      </c>
      <c r="P32" s="44">
        <f t="shared" si="8"/>
        <v>5.1937155297532662</v>
      </c>
      <c r="Q32" s="44">
        <f>'Futterkurve Mast'!E45</f>
        <v>3.0971698113207551</v>
      </c>
      <c r="R32" s="44">
        <f>D32*1/13.4</f>
        <v>1</v>
      </c>
      <c r="S32" s="1544">
        <f>0.15*D32</f>
        <v>2.0099999999999998</v>
      </c>
      <c r="T32" s="1281">
        <v>1</v>
      </c>
      <c r="U32" s="69">
        <f>ROUND(I32/$G32,2)</f>
        <v>0.55000000000000004</v>
      </c>
      <c r="V32" s="69">
        <f>ROUND(K32/$G32,2)</f>
        <v>0.65</v>
      </c>
      <c r="W32" s="1041">
        <f>ROUND(M32/$G32,2)</f>
        <v>0.18</v>
      </c>
      <c r="X32" s="69">
        <f>ROUND(G32/D32,2)</f>
        <v>0.88</v>
      </c>
      <c r="Y32" s="69">
        <f>H32/D32</f>
        <v>0.78301886792452835</v>
      </c>
      <c r="Z32" s="69">
        <f>ROUND(O32/P32,2)</f>
        <v>1.3</v>
      </c>
      <c r="AA32" s="69">
        <f>ROUND(O32/Q32,2)</f>
        <v>2.1800000000000002</v>
      </c>
      <c r="AB32" s="156">
        <v>40</v>
      </c>
      <c r="AC32" s="160" t="s">
        <v>1022</v>
      </c>
      <c r="AD32" s="44">
        <f t="shared" si="6"/>
        <v>3.4041525333898677</v>
      </c>
      <c r="AE32" s="728">
        <f t="shared" si="6"/>
        <v>3.029695754716982</v>
      </c>
      <c r="AF32" s="728">
        <f>G32*100/E32</f>
        <v>6.5495960238381281</v>
      </c>
      <c r="AH32" s="724"/>
      <c r="AK32" s="40">
        <f>18*$D32/13.4</f>
        <v>18</v>
      </c>
      <c r="AL32" s="40">
        <f>10*$D32/13.4</f>
        <v>10</v>
      </c>
      <c r="AN32" s="719">
        <v>6000</v>
      </c>
      <c r="AO32" s="719">
        <v>1500</v>
      </c>
      <c r="AP32" s="719">
        <v>60</v>
      </c>
      <c r="AS32" s="1354">
        <v>70</v>
      </c>
      <c r="AT32" s="1355">
        <v>120</v>
      </c>
    </row>
    <row r="33" spans="1:46" ht="7.5" customHeight="1">
      <c r="A33" s="13" t="str">
        <f t="shared" si="0"/>
        <v/>
      </c>
      <c r="B33" s="1346" t="str">
        <f>IF(G33=""," ",COUNTA($G$11:G32))</f>
        <v xml:space="preserve"> </v>
      </c>
      <c r="C33" s="1550"/>
      <c r="E33" s="1261"/>
      <c r="F33" s="65"/>
      <c r="G33" s="40"/>
      <c r="H33" s="40"/>
      <c r="I33" s="43"/>
      <c r="J33" s="40"/>
      <c r="K33" s="40"/>
      <c r="L33" s="40"/>
      <c r="M33" s="40"/>
      <c r="N33" s="40"/>
      <c r="O33" s="43"/>
      <c r="P33" s="40"/>
      <c r="Q33" s="40"/>
      <c r="R33" s="43"/>
      <c r="S33" s="43"/>
      <c r="T33" s="1037"/>
      <c r="U33" s="64"/>
      <c r="V33" s="64"/>
      <c r="W33" s="1038"/>
      <c r="X33" s="51"/>
      <c r="Y33" s="51"/>
      <c r="Z33" s="51"/>
      <c r="AA33" s="51"/>
      <c r="AD33" s="40"/>
      <c r="AE33" s="714"/>
      <c r="AF33" s="714"/>
      <c r="AH33" s="724"/>
    </row>
    <row r="34" spans="1:46" ht="12.75" customHeight="1">
      <c r="B34" s="1346"/>
      <c r="C34" s="1548" t="s">
        <v>819</v>
      </c>
      <c r="D34" s="1345" t="s">
        <v>93</v>
      </c>
      <c r="E34" s="1261"/>
      <c r="F34" s="65"/>
      <c r="G34" s="40"/>
      <c r="H34" s="40"/>
      <c r="I34" s="43"/>
      <c r="J34" s="40"/>
      <c r="K34" s="40"/>
      <c r="L34" s="40"/>
      <c r="M34" s="40"/>
      <c r="N34" s="40"/>
      <c r="O34" s="43"/>
      <c r="P34" s="40"/>
      <c r="Q34" s="40"/>
      <c r="R34" s="43"/>
      <c r="S34" s="43"/>
      <c r="T34" s="1037"/>
      <c r="U34" s="64"/>
      <c r="V34" s="64"/>
      <c r="W34" s="1038"/>
      <c r="X34" s="51"/>
      <c r="Y34" s="51"/>
      <c r="Z34" s="51"/>
      <c r="AA34" s="51"/>
      <c r="AD34" s="40"/>
      <c r="AE34" s="714"/>
      <c r="AF34" s="714"/>
      <c r="AH34" s="724"/>
    </row>
    <row r="35" spans="1:46">
      <c r="A35" s="13" t="str">
        <f t="shared" si="0"/>
        <v>ab 40 kg LM</v>
      </c>
      <c r="B35" s="1346" t="str">
        <f>IF(G35=""," ",COUNTA($G$11:G33))</f>
        <v xml:space="preserve"> </v>
      </c>
      <c r="C35" s="1554" t="s">
        <v>820</v>
      </c>
      <c r="D35" s="1345"/>
      <c r="E35" s="1261"/>
      <c r="F35" s="65"/>
      <c r="G35" s="40"/>
      <c r="H35" s="40"/>
      <c r="I35" s="43"/>
      <c r="J35" s="40"/>
      <c r="K35" s="40"/>
      <c r="L35" s="40"/>
      <c r="M35" s="40"/>
      <c r="N35" s="40"/>
      <c r="O35" s="43"/>
      <c r="P35" s="40"/>
      <c r="Q35" s="40"/>
      <c r="R35" s="43"/>
      <c r="S35" s="43"/>
      <c r="T35" s="1037"/>
      <c r="U35" s="64"/>
      <c r="V35" s="64"/>
      <c r="W35" s="1038"/>
      <c r="X35" s="51"/>
      <c r="Y35" s="51"/>
      <c r="Z35" s="51"/>
      <c r="AA35" s="51"/>
      <c r="AD35" s="40"/>
      <c r="AE35" s="714"/>
      <c r="AF35" s="714"/>
      <c r="AH35" s="724"/>
    </row>
    <row r="36" spans="1:46">
      <c r="A36" s="13" t="str">
        <f t="shared" si="0"/>
        <v>Anfangsmast ab 40 Kg LM für 750 g TZ*</v>
      </c>
      <c r="B36" s="1346">
        <f>IF(G36=""," ",COUNTA($G$11:G35))</f>
        <v>9</v>
      </c>
      <c r="C36" s="1550" t="str">
        <f>IF(Futterberechnung!$B$10="","Anfangsmast ab 40 Kg LM für 750 g TZ*",IF(Futterberechnung!$B$10="w","Anfangsmast ab 40 Kg LM für 720 g TZ*",IF(Futterberechnung!$B$10="m","Anfangsmast ab 40 Kg LM für 770 g TZ*","Anfangsmast ab 40 Kg LM für 750 g TZ*")))</f>
        <v>Anfangsmast ab 40 Kg LM für 750 g TZ*</v>
      </c>
      <c r="D36" s="162">
        <f>'Futterkurve Mast'!G$7</f>
        <v>13.2</v>
      </c>
      <c r="E36" s="1262">
        <f>IF(AND(Futterberechnung!$B$10="m",'Futterkurve Mast'!$T$6="hp"),(165*D36/13.4)-(165*D36/13.4)*0.03,IF(Futterberechnung!$B$10="m",(160*D36/13.4)-(160*D36/13.4)*0.03,IF('Futterkurve Mast'!$T$6="HP",165*D36/13.4,160*D36/13.4)))</f>
        <v>157.61194029850745</v>
      </c>
      <c r="F36" s="65">
        <f>ROUND(E36*0.88,0)</f>
        <v>139</v>
      </c>
      <c r="G36" s="43">
        <f>H36/0.88</f>
        <v>9.8720930232558128</v>
      </c>
      <c r="H36" s="40">
        <f>IF(Futterberechnung!B$10=" ",'Futterkurve Mast'!G$20,IF(Futterberechnung!B$10="W",'Futterkurve Mast'!G$60,IF(Futterberechnung!B$10="M",'Futterkurve Mast'!G$96,'Futterkurve Mast'!G$20)))</f>
        <v>8.6874418604651158</v>
      </c>
      <c r="I36" s="43">
        <f t="shared" ref="I36:J38" si="9">G36*0.55</f>
        <v>5.4296511627906971</v>
      </c>
      <c r="J36" s="43">
        <f t="shared" si="9"/>
        <v>4.7780930232558143</v>
      </c>
      <c r="K36" s="40">
        <f t="shared" ref="K36:L38" si="10">G36*0.65</f>
        <v>6.4168604651162786</v>
      </c>
      <c r="L36" s="40">
        <f t="shared" si="10"/>
        <v>5.6468372093023254</v>
      </c>
      <c r="M36" s="40">
        <f t="shared" ref="M36:N38" si="11">G36*0.18</f>
        <v>1.7769767441860462</v>
      </c>
      <c r="N36" s="40">
        <f t="shared" si="11"/>
        <v>1.5637395348837209</v>
      </c>
      <c r="O36" s="40">
        <f>Q36*2.2</f>
        <v>5.7404651162790703</v>
      </c>
      <c r="P36" s="43">
        <f>O36/1.35</f>
        <v>4.2521963824289406</v>
      </c>
      <c r="Q36" s="40">
        <f>'Futterkurve Mast'!G$19</f>
        <v>2.6093023255813952</v>
      </c>
      <c r="R36" s="43">
        <f>D36*1/13.4</f>
        <v>0.9850746268656716</v>
      </c>
      <c r="S36" s="43">
        <f>0.14*D36</f>
        <v>1.8480000000000001</v>
      </c>
      <c r="T36" s="1037">
        <v>1</v>
      </c>
      <c r="U36" s="64">
        <f>ROUND(I36/$G36,2)</f>
        <v>0.55000000000000004</v>
      </c>
      <c r="V36" s="64">
        <f>ROUND(K36/$G36,2)</f>
        <v>0.65</v>
      </c>
      <c r="W36" s="1038">
        <f>ROUND(M36/$G36,2)</f>
        <v>0.18</v>
      </c>
      <c r="X36" s="51">
        <f>ROUND(G36/D36,2)</f>
        <v>0.75</v>
      </c>
      <c r="Y36" s="51">
        <f>H36/D36</f>
        <v>0.6581395348837209</v>
      </c>
      <c r="Z36" s="51">
        <f>ROUND(O36/P36,2)</f>
        <v>1.35</v>
      </c>
      <c r="AA36" s="51">
        <f>ROUND(O36/Q36,2)</f>
        <v>2.2000000000000002</v>
      </c>
      <c r="AB36" s="154">
        <v>40</v>
      </c>
      <c r="AC36" s="159" t="s">
        <v>1022</v>
      </c>
      <c r="AD36" s="40">
        <f t="shared" ref="AD36:AE38" si="12">I36*0.525</f>
        <v>2.8505668604651162</v>
      </c>
      <c r="AE36" s="714">
        <f t="shared" si="12"/>
        <v>2.5084988372093027</v>
      </c>
      <c r="AF36" s="714">
        <f>G36*100/E36</f>
        <v>6.2635438689217757</v>
      </c>
      <c r="AH36" s="724"/>
      <c r="AK36" s="40">
        <f>18*$D36/13.4</f>
        <v>17.731343283582088</v>
      </c>
      <c r="AL36" s="40">
        <f>10*$D36/13.4</f>
        <v>9.8507462686567155</v>
      </c>
      <c r="AN36" s="719">
        <v>6000</v>
      </c>
      <c r="AO36" s="719">
        <v>1500</v>
      </c>
      <c r="AP36" s="719">
        <v>60</v>
      </c>
      <c r="AS36" s="1354">
        <v>70</v>
      </c>
      <c r="AT36" s="1355">
        <v>120</v>
      </c>
    </row>
    <row r="37" spans="1:46">
      <c r="A37" s="13" t="str">
        <f t="shared" si="0"/>
        <v>Anfangsmast ab 40 Kg LM für 850 g TZ*</v>
      </c>
      <c r="B37" s="1346">
        <f>IF(G37=""," ",COUNTA($G$11:G36))</f>
        <v>10</v>
      </c>
      <c r="C37" s="1552" t="str">
        <f>IF(Futterberechnung!$B$10="","Anfangsmast ab 40 Kg LM für 850 g TZ*",IF(Futterberechnung!$B$10="w","Anfangsmast ab 40 Kg LM für 820 g TZ*",IF(Futterberechnung!$B$10="m","Anfangsmast ab 40 Kg LM für 870 g TZ*","Anfangsmast ab 40 Kg LM für 850 g TZ*")))</f>
        <v>Anfangsmast ab 40 Kg LM für 850 g TZ*</v>
      </c>
      <c r="D37" s="162">
        <f>'Futterkurve Mast'!G$7</f>
        <v>13.2</v>
      </c>
      <c r="E37" s="1262">
        <f>IF(AND(Futterberechnung!$B$10="m",'Futterkurve Mast'!$T$6="hp"),(170*D37/13.4)-(170*D37/13.4)*0.03,IF(Futterberechnung!$B$10="m",(165*D37/13.4)-(165*D37/13.4)*0.03,IF('Futterkurve Mast'!$T$6="HP",170*D37/13.4,165*D37/13.4)))</f>
        <v>162.53731343283582</v>
      </c>
      <c r="F37" s="65">
        <f>ROUND(E37*0.88,0)</f>
        <v>143</v>
      </c>
      <c r="G37" s="43">
        <f>H37/0.88</f>
        <v>10.150862068965516</v>
      </c>
      <c r="H37" s="40">
        <f>IF(Futterberechnung!B$10=" ",'Futterkurve Mast'!G$33,IF(Futterberechnung!B$10="W",'Futterkurve Mast'!G$71,IF(Futterberechnung!B$10="M",'Futterkurve Mast'!G$107,'Futterkurve Mast'!G$33)))</f>
        <v>8.9327586206896541</v>
      </c>
      <c r="I37" s="43">
        <f t="shared" si="9"/>
        <v>5.5829741379310347</v>
      </c>
      <c r="J37" s="43">
        <f t="shared" si="9"/>
        <v>4.9130172413793103</v>
      </c>
      <c r="K37" s="43">
        <f t="shared" si="10"/>
        <v>6.5980603448275854</v>
      </c>
      <c r="L37" s="40">
        <f t="shared" si="10"/>
        <v>5.806293103448275</v>
      </c>
      <c r="M37" s="43">
        <f t="shared" si="11"/>
        <v>1.8271551724137929</v>
      </c>
      <c r="N37" s="43">
        <f t="shared" si="11"/>
        <v>1.6078965517241377</v>
      </c>
      <c r="O37" s="40">
        <f t="shared" ref="O37:O38" si="13">Q37*2.2</f>
        <v>5.9456896551724139</v>
      </c>
      <c r="P37" s="43">
        <f t="shared" ref="P37:P38" si="14">O37/1.35</f>
        <v>4.4042145593869728</v>
      </c>
      <c r="Q37" s="43">
        <f>'Futterkurve Mast'!G$32</f>
        <v>2.7025862068965516</v>
      </c>
      <c r="R37" s="43">
        <f>D37*1/13.4</f>
        <v>0.9850746268656716</v>
      </c>
      <c r="S37" s="43">
        <f t="shared" ref="S37:S43" si="15">0.14*D37</f>
        <v>1.8480000000000001</v>
      </c>
      <c r="T37" s="1037">
        <v>1</v>
      </c>
      <c r="U37" s="64">
        <f>ROUND(I37/$G37,2)</f>
        <v>0.55000000000000004</v>
      </c>
      <c r="V37" s="64">
        <f>ROUND(K37/$G37,2)</f>
        <v>0.65</v>
      </c>
      <c r="W37" s="1038">
        <f>ROUND(M37/$G37,2)</f>
        <v>0.18</v>
      </c>
      <c r="X37" s="64">
        <f>ROUND(G37/D37,2)</f>
        <v>0.77</v>
      </c>
      <c r="Y37" s="64">
        <f>H37/D37</f>
        <v>0.67672413793103448</v>
      </c>
      <c r="Z37" s="64">
        <f>ROUND(O37/P37,2)</f>
        <v>1.35</v>
      </c>
      <c r="AA37" s="64">
        <f>ROUND(O37/Q37,2)</f>
        <v>2.2000000000000002</v>
      </c>
      <c r="AB37" s="154">
        <v>40</v>
      </c>
      <c r="AC37" s="159" t="s">
        <v>1022</v>
      </c>
      <c r="AD37" s="40">
        <f t="shared" si="12"/>
        <v>2.9310614224137934</v>
      </c>
      <c r="AE37" s="714">
        <f t="shared" si="12"/>
        <v>2.5793340517241381</v>
      </c>
      <c r="AF37" s="714">
        <f>G37*100/E37</f>
        <v>6.2452503087299318</v>
      </c>
      <c r="AH37" s="724"/>
      <c r="AK37" s="40">
        <f>18*$D37/13.4</f>
        <v>17.731343283582088</v>
      </c>
      <c r="AL37" s="40">
        <f>10*$D37/13.4</f>
        <v>9.8507462686567155</v>
      </c>
      <c r="AN37" s="719">
        <v>6000</v>
      </c>
      <c r="AO37" s="719">
        <v>1500</v>
      </c>
      <c r="AP37" s="719">
        <v>60</v>
      </c>
      <c r="AS37" s="1354">
        <v>70</v>
      </c>
      <c r="AT37" s="1355">
        <v>120</v>
      </c>
    </row>
    <row r="38" spans="1:46">
      <c r="A38" s="13" t="str">
        <f t="shared" si="0"/>
        <v>Anfangsmast ab 40 Kg LM für 950 g TZ*</v>
      </c>
      <c r="B38" s="1346">
        <f>IF(G38=""," ",COUNTA($G$11:G37))</f>
        <v>11</v>
      </c>
      <c r="C38" s="1550" t="str">
        <f>IF(Futterberechnung!$B$10="","Anfangsmast ab 40 Kg LM für 950 g TZ*",IF(Futterberechnung!$B$10="w","Anfangsmast ab 40 Kg LM für 920 g TZ*",IF(Futterberechnung!$B$10="m","Anfangsmast ab 40 Kg LM für 970 g TZ*","Anfangsmast ab 40 Kg LM für 950 g TZ*")))</f>
        <v>Anfangsmast ab 40 Kg LM für 950 g TZ*</v>
      </c>
      <c r="D38" s="162">
        <f>'Futterkurve Mast'!G$7</f>
        <v>13.2</v>
      </c>
      <c r="E38" s="1264">
        <f>IF(AND(Futterberechnung!$B$10="m",'Futterkurve Mast'!$T$6="hp"),(175*D38/13.4)-(175*D38/13.4)*0.03,IF(Futterberechnung!$B$10="m",(170*D38/13.4)-(170*D38/13.4)*0.03,IF('Futterkurve Mast'!$T$6="HP",175*D38/13.4,170*D38/13.4)))</f>
        <v>167.46268656716418</v>
      </c>
      <c r="F38" s="65">
        <f>ROUND(E38*0.88,0)</f>
        <v>147</v>
      </c>
      <c r="G38" s="43">
        <f>H38/0.88</f>
        <v>10.379999999999999</v>
      </c>
      <c r="H38" s="43">
        <f>IF(Futterberechnung!B$10=" ",'Futterkurve Mast'!G$46,IF(Futterberechnung!B$10="W",'Futterkurve Mast'!G$82,IF(Futterberechnung!B$10="M",'Futterkurve Mast'!G$118,'Futterkurve Mast'!G$46)))</f>
        <v>9.1343999999999994</v>
      </c>
      <c r="I38" s="43">
        <f t="shared" si="9"/>
        <v>5.7089999999999996</v>
      </c>
      <c r="J38" s="43">
        <f t="shared" si="9"/>
        <v>5.0239200000000004</v>
      </c>
      <c r="K38" s="43">
        <f t="shared" si="10"/>
        <v>6.7469999999999999</v>
      </c>
      <c r="L38" s="43">
        <f t="shared" si="10"/>
        <v>5.93736</v>
      </c>
      <c r="M38" s="43">
        <f t="shared" si="11"/>
        <v>1.8683999999999998</v>
      </c>
      <c r="N38" s="43">
        <f t="shared" si="11"/>
        <v>1.6441919999999999</v>
      </c>
      <c r="O38" s="40">
        <f t="shared" si="13"/>
        <v>6.0983999999999998</v>
      </c>
      <c r="P38" s="43">
        <f t="shared" si="14"/>
        <v>4.5173333333333332</v>
      </c>
      <c r="Q38" s="43">
        <f>'Futterkurve Mast'!G$45</f>
        <v>2.7719999999999998</v>
      </c>
      <c r="R38" s="43">
        <f>D38*1/13.4</f>
        <v>0.9850746268656716</v>
      </c>
      <c r="S38" s="43">
        <f t="shared" si="15"/>
        <v>1.8480000000000001</v>
      </c>
      <c r="T38" s="1037">
        <v>1</v>
      </c>
      <c r="U38" s="64">
        <f>ROUND(I38/$G38,2)</f>
        <v>0.55000000000000004</v>
      </c>
      <c r="V38" s="64">
        <f>ROUND(K38/$G38,2)</f>
        <v>0.65</v>
      </c>
      <c r="W38" s="1038">
        <f>ROUND(M38/$G38,2)</f>
        <v>0.18</v>
      </c>
      <c r="X38" s="64">
        <f>ROUND(G38/D38,2)</f>
        <v>0.79</v>
      </c>
      <c r="Y38" s="64">
        <f>H38/D38</f>
        <v>0.69199999999999995</v>
      </c>
      <c r="Z38" s="64">
        <f>ROUND(O38/P38,2)</f>
        <v>1.35</v>
      </c>
      <c r="AA38" s="64">
        <f>ROUND(O38/Q38,2)</f>
        <v>2.2000000000000002</v>
      </c>
      <c r="AB38" s="154">
        <v>40</v>
      </c>
      <c r="AC38" s="159" t="s">
        <v>1022</v>
      </c>
      <c r="AD38" s="43">
        <f t="shared" si="12"/>
        <v>2.9972249999999998</v>
      </c>
      <c r="AE38" s="726">
        <f t="shared" si="12"/>
        <v>2.6375580000000003</v>
      </c>
      <c r="AF38" s="726">
        <f>G38*100/E38</f>
        <v>6.1983957219251336</v>
      </c>
      <c r="AH38" s="724"/>
      <c r="AK38" s="40">
        <f>18*$D38/13.4</f>
        <v>17.731343283582088</v>
      </c>
      <c r="AL38" s="40">
        <f>10*$D38/13.4</f>
        <v>9.8507462686567155</v>
      </c>
      <c r="AN38" s="719">
        <v>6000</v>
      </c>
      <c r="AO38" s="719">
        <v>1500</v>
      </c>
      <c r="AP38" s="719">
        <v>60</v>
      </c>
      <c r="AS38" s="1354">
        <v>70</v>
      </c>
      <c r="AT38" s="1355">
        <v>120</v>
      </c>
    </row>
    <row r="39" spans="1:46" ht="7.5" customHeight="1">
      <c r="A39" s="13" t="str">
        <f t="shared" si="0"/>
        <v/>
      </c>
      <c r="B39" s="1346" t="str">
        <f>IF(G39=""," ",COUNTA($G$11:G38))</f>
        <v xml:space="preserve"> </v>
      </c>
      <c r="C39" s="1550"/>
      <c r="E39" s="1261"/>
      <c r="F39" s="65"/>
      <c r="G39" s="40"/>
      <c r="H39" s="40"/>
      <c r="I39" s="43"/>
      <c r="J39" s="40"/>
      <c r="K39" s="40"/>
      <c r="L39" s="40"/>
      <c r="M39" s="40"/>
      <c r="N39" s="40"/>
      <c r="O39" s="40"/>
      <c r="P39" s="40"/>
      <c r="Q39" s="40"/>
      <c r="R39" s="43"/>
      <c r="S39" s="43"/>
      <c r="T39" s="1037"/>
      <c r="U39" s="64"/>
      <c r="V39" s="64"/>
      <c r="W39" s="1038"/>
      <c r="X39" s="51"/>
      <c r="Y39" s="51"/>
      <c r="Z39" s="51"/>
      <c r="AA39" s="51"/>
      <c r="AD39" s="40"/>
      <c r="AE39" s="714"/>
      <c r="AF39" s="714"/>
      <c r="AH39" s="724"/>
      <c r="AS39" s="24"/>
      <c r="AT39" s="24"/>
    </row>
    <row r="40" spans="1:46">
      <c r="A40" s="13" t="str">
        <f t="shared" si="0"/>
        <v>ab 50 kg LM</v>
      </c>
      <c r="B40" s="1346" t="str">
        <f>IF(G40=""," ",COUNTA($G$11:G39))</f>
        <v xml:space="preserve"> </v>
      </c>
      <c r="C40" s="1554" t="s">
        <v>821</v>
      </c>
      <c r="D40" s="31"/>
      <c r="E40" s="1261"/>
      <c r="F40" s="65"/>
      <c r="G40" s="40"/>
      <c r="H40" s="40"/>
      <c r="I40" s="43"/>
      <c r="J40" s="40"/>
      <c r="K40" s="40"/>
      <c r="L40" s="40"/>
      <c r="M40" s="40"/>
      <c r="N40" s="40"/>
      <c r="O40" s="40"/>
      <c r="P40" s="40"/>
      <c r="Q40" s="40"/>
      <c r="R40" s="43"/>
      <c r="S40" s="43"/>
      <c r="T40" s="1037"/>
      <c r="U40" s="64"/>
      <c r="V40" s="64"/>
      <c r="W40" s="1038"/>
      <c r="X40" s="51"/>
      <c r="Y40" s="51"/>
      <c r="Z40" s="51"/>
      <c r="AA40" s="51"/>
      <c r="AD40" s="40"/>
      <c r="AE40" s="714"/>
      <c r="AF40" s="714"/>
      <c r="AH40" s="724"/>
      <c r="AS40" s="24"/>
      <c r="AT40" s="24"/>
    </row>
    <row r="41" spans="1:46">
      <c r="A41" s="13" t="str">
        <f t="shared" si="0"/>
        <v>Anfangsmast ab 50 Kg LM für 750 g TZ*</v>
      </c>
      <c r="B41" s="1346">
        <f>IF(G41=""," ",COUNTA($G$11:G40))</f>
        <v>12</v>
      </c>
      <c r="C41" s="1550" t="str">
        <f>IF(Futterberechnung!$B$10="","Anfangsmast ab 50 Kg LM für 750 g TZ*",IF(Futterberechnung!$B$10="w","Anfangsmast ab 50 Kg LM für 720 g TZ*",IF(Futterberechnung!$B$10="m","Anfangsmast ab 50 Kg LM für 770 g TZ*","Anfangsmast ab 50 Kg LM für 750 g TZ*")))</f>
        <v>Anfangsmast ab 50 Kg LM für 750 g TZ*</v>
      </c>
      <c r="D41" s="162">
        <f>'Futterkurve Mast'!G$7</f>
        <v>13.2</v>
      </c>
      <c r="E41" s="1262">
        <f>IF(AND(Futterberechnung!$B$10="m",'Futterkurve Mast'!$T$6="hp"),(160*D41/13.4)-(160*D41/13.4)*0.03,IF(Futterberechnung!$B$10="m",(155*D41/13.4)-(155*D41/13.4)*0.03,IF('Futterkurve Mast'!$T$6="HP",160*D41/13.4,155*D41/13.4)))</f>
        <v>152.68656716417911</v>
      </c>
      <c r="F41" s="65">
        <f>ROUND(E41*0.877,0)</f>
        <v>134</v>
      </c>
      <c r="G41" s="43">
        <f>H41/0.877</f>
        <v>9.2388130266707442</v>
      </c>
      <c r="H41" s="40">
        <f>IF(Futterberechnung!B$10=" ",'Futterkurve Mast'!I$20,IF(Futterberechnung!B$10="W",'Futterkurve Mast'!I$60,IF(Futterberechnung!B$10="M",'Futterkurve Mast'!I$96,'Futterkurve Mast'!I$20)))</f>
        <v>8.1024390243902431</v>
      </c>
      <c r="I41" s="43">
        <f t="shared" ref="I41:J43" si="16">G41*0.55</f>
        <v>5.0813471646689097</v>
      </c>
      <c r="J41" s="43">
        <f t="shared" si="16"/>
        <v>4.4563414634146339</v>
      </c>
      <c r="K41" s="40">
        <f t="shared" ref="K41:L43" si="17">G41*0.65</f>
        <v>6.0052284673359839</v>
      </c>
      <c r="L41" s="40">
        <f t="shared" si="17"/>
        <v>5.2665853658536586</v>
      </c>
      <c r="M41" s="40">
        <f t="shared" ref="M41:N43" si="18">G41*0.18</f>
        <v>1.6629863448007338</v>
      </c>
      <c r="N41" s="40">
        <f t="shared" si="18"/>
        <v>1.4584390243902436</v>
      </c>
      <c r="O41" s="43">
        <f>Q41*2.13</f>
        <v>5.2574634146341452</v>
      </c>
      <c r="P41" s="43">
        <f>O41/1.23</f>
        <v>4.2743604997025573</v>
      </c>
      <c r="Q41" s="43">
        <f>'Futterkurve Mast'!I$19</f>
        <v>2.4682926829268288</v>
      </c>
      <c r="R41" s="43">
        <f>D41*1/13.4</f>
        <v>0.9850746268656716</v>
      </c>
      <c r="S41" s="43">
        <f t="shared" si="15"/>
        <v>1.8480000000000001</v>
      </c>
      <c r="T41" s="1037">
        <v>1</v>
      </c>
      <c r="U41" s="64">
        <f>ROUND(I41/$G41,2)</f>
        <v>0.55000000000000004</v>
      </c>
      <c r="V41" s="64">
        <f>ROUND(K41/$G41,2)</f>
        <v>0.65</v>
      </c>
      <c r="W41" s="1038">
        <f>ROUND(M41/$G41,2)</f>
        <v>0.18</v>
      </c>
      <c r="X41" s="51">
        <f>ROUND(G41/D41,2)</f>
        <v>0.7</v>
      </c>
      <c r="Y41" s="51">
        <f>H41/D41</f>
        <v>0.61382113821138207</v>
      </c>
      <c r="Z41" s="51">
        <f>ROUND(O41/P41,2)</f>
        <v>1.23</v>
      </c>
      <c r="AA41" s="51">
        <f>ROUND(O41/Q41,2)</f>
        <v>2.13</v>
      </c>
      <c r="AB41" s="154">
        <v>40</v>
      </c>
      <c r="AC41" s="159" t="s">
        <v>1022</v>
      </c>
      <c r="AD41" s="40">
        <f t="shared" ref="AD41:AE43" si="19">I41*0.525</f>
        <v>2.6677072614511776</v>
      </c>
      <c r="AE41" s="714">
        <f t="shared" si="19"/>
        <v>2.3395792682926828</v>
      </c>
      <c r="AF41" s="714">
        <f>G41*100/E41</f>
        <v>6.0508355111137817</v>
      </c>
      <c r="AH41" s="724"/>
      <c r="AK41" s="40">
        <f>18*$D41/13.4</f>
        <v>17.731343283582088</v>
      </c>
      <c r="AL41" s="40">
        <f>10*$D41/13.4</f>
        <v>9.8507462686567155</v>
      </c>
      <c r="AN41" s="719">
        <v>6000</v>
      </c>
      <c r="AO41" s="719">
        <v>1500</v>
      </c>
      <c r="AP41" s="719">
        <v>60</v>
      </c>
      <c r="AS41" s="1354">
        <v>70</v>
      </c>
      <c r="AT41" s="1355">
        <v>120</v>
      </c>
    </row>
    <row r="42" spans="1:46">
      <c r="A42" s="13" t="str">
        <f t="shared" si="0"/>
        <v>Anfangsmast ab 50 Kg LM für 850 g TZ*</v>
      </c>
      <c r="B42" s="1346">
        <f>IF(G42=""," ",COUNTA($G$11:G41))</f>
        <v>13</v>
      </c>
      <c r="C42" s="1552" t="str">
        <f>IF(Futterberechnung!$B$10="","Anfangsmast ab 50 Kg LM für 850 g TZ*",IF(Futterberechnung!$B$10="w","Anfangsmast ab 50 Kg LM für 820 g TZ*",IF(Futterberechnung!$B$10="m","Anfangsmast ab 50 Kg LM für 870 g TZ*","Anfangsmast ab 50 Kg LM für 850 g TZ*")))</f>
        <v>Anfangsmast ab 50 Kg LM für 850 g TZ*</v>
      </c>
      <c r="D42" s="162">
        <f>'Futterkurve Mast'!G$7</f>
        <v>13.2</v>
      </c>
      <c r="E42" s="1262">
        <f>IF(AND(Futterberechnung!$B$10="m",'Futterkurve Mast'!$T$6="hp"),(165*D42/13.4)-(165*D42/13.4)*0.03,IF(Futterberechnung!$B$10="m",(160*D42/13.4)-(160*D42/13.4)*0.03,IF('Futterkurve Mast'!$T$6="HP",165*D42/13.4,160*D42/13.4)))</f>
        <v>157.61194029850745</v>
      </c>
      <c r="F42" s="65">
        <f>ROUND(E42*0.877,0)</f>
        <v>138</v>
      </c>
      <c r="G42" s="43">
        <f>H42/0.877</f>
        <v>9.5703620834319398</v>
      </c>
      <c r="H42" s="40">
        <f>IF(Futterberechnung!B$10=" ",'Futterkurve Mast'!I$33,IF(Futterberechnung!B$10="W",'Futterkurve Mast'!I$71,IF(Futterberechnung!B$10="M",'Futterkurve Mast'!I$107,'Futterkurve Mast'!I$33)))</f>
        <v>8.393207547169812</v>
      </c>
      <c r="I42" s="43">
        <f t="shared" si="16"/>
        <v>5.2636991458875677</v>
      </c>
      <c r="J42" s="43">
        <f t="shared" si="16"/>
        <v>4.6162641509433966</v>
      </c>
      <c r="K42" s="43">
        <f t="shared" si="17"/>
        <v>6.2207353542307615</v>
      </c>
      <c r="L42" s="40">
        <f t="shared" si="17"/>
        <v>5.4555849056603778</v>
      </c>
      <c r="M42" s="43">
        <f t="shared" si="18"/>
        <v>1.7226651750177491</v>
      </c>
      <c r="N42" s="43">
        <f t="shared" si="18"/>
        <v>1.5107773584905662</v>
      </c>
      <c r="O42" s="43">
        <f t="shared" ref="O42:O43" si="20">Q42*2.13</f>
        <v>5.4640528301886793</v>
      </c>
      <c r="P42" s="43">
        <f t="shared" ref="P42:P43" si="21">O42/1.23</f>
        <v>4.4423193741371376</v>
      </c>
      <c r="Q42" s="43">
        <f>'Futterkurve Mast'!I$32</f>
        <v>2.5652830188679245</v>
      </c>
      <c r="R42" s="43">
        <f>D42*1/13.4</f>
        <v>0.9850746268656716</v>
      </c>
      <c r="S42" s="43">
        <f t="shared" si="15"/>
        <v>1.8480000000000001</v>
      </c>
      <c r="T42" s="1037">
        <v>1</v>
      </c>
      <c r="U42" s="64">
        <f>ROUND(I42/$G42,2)</f>
        <v>0.55000000000000004</v>
      </c>
      <c r="V42" s="64">
        <f>ROUND(K42/$G42,2)</f>
        <v>0.65</v>
      </c>
      <c r="W42" s="1038">
        <f>ROUND(M42/$G42,2)</f>
        <v>0.18</v>
      </c>
      <c r="X42" s="64">
        <f>ROUND(G42/D42,2)</f>
        <v>0.73</v>
      </c>
      <c r="Y42" s="64">
        <f>H42/D42</f>
        <v>0.63584905660377367</v>
      </c>
      <c r="Z42" s="64">
        <f>ROUND(O42/P42,2)</f>
        <v>1.23</v>
      </c>
      <c r="AA42" s="64">
        <f>ROUND(O42/Q42,2)</f>
        <v>2.13</v>
      </c>
      <c r="AB42" s="154">
        <v>40</v>
      </c>
      <c r="AC42" s="159" t="s">
        <v>1022</v>
      </c>
      <c r="AD42" s="40">
        <f t="shared" si="19"/>
        <v>2.7634420515909732</v>
      </c>
      <c r="AE42" s="714">
        <f t="shared" si="19"/>
        <v>2.4235386792452833</v>
      </c>
      <c r="AF42" s="714">
        <f>G42*100/E42</f>
        <v>6.0721047309653411</v>
      </c>
      <c r="AH42" s="724"/>
      <c r="AK42" s="40">
        <f>18*$D42/13.4</f>
        <v>17.731343283582088</v>
      </c>
      <c r="AL42" s="40">
        <f>10*$D42/13.4</f>
        <v>9.8507462686567155</v>
      </c>
      <c r="AN42" s="719">
        <v>6000</v>
      </c>
      <c r="AO42" s="719">
        <v>1500</v>
      </c>
      <c r="AP42" s="719">
        <v>60</v>
      </c>
      <c r="AS42" s="1354">
        <v>70</v>
      </c>
      <c r="AT42" s="1355">
        <v>120</v>
      </c>
    </row>
    <row r="43" spans="1:46">
      <c r="A43" s="13" t="str">
        <f t="shared" si="0"/>
        <v>Anfangsmast ab 50 Kg LM für 950 g TZ*</v>
      </c>
      <c r="B43" s="1346">
        <f>IF(G43=""," ",COUNTA($G$11:G42))</f>
        <v>14</v>
      </c>
      <c r="C43" s="1553" t="str">
        <f>IF(Futterberechnung!$B$10="","Anfangsmast ab 50 Kg LM für 950 g TZ*",IF(Futterberechnung!$B$10="w","Anfangsmast ab 50 Kg LM für 920 g TZ*",IF(Futterberechnung!$B$10="m","Anfangsmast ab 50 Kg LM für 970 g TZ*","Anfangsmast ab 50 Kg LM für 950 g TZ*")))</f>
        <v>Anfangsmast ab 50 Kg LM für 950 g TZ*</v>
      </c>
      <c r="D43" s="163">
        <f>'Futterkurve Mast'!G$7</f>
        <v>13.2</v>
      </c>
      <c r="E43" s="1263">
        <f>IF(AND(Futterberechnung!$B$10="m",'Futterkurve Mast'!$T$6="hp"),(175*D43/13.4)-(175*D43/13.4)*0.03,IF(Futterberechnung!$B$10="m",(170*D43/13.4)-(170*D43/13.4)*0.03,IF('Futterkurve Mast'!$T$6="HP",175*D43/13.4,170*D43/13.4)))</f>
        <v>167.46268656716418</v>
      </c>
      <c r="F43" s="68">
        <f>ROUND(E43*0.877,0)</f>
        <v>147</v>
      </c>
      <c r="G43" s="44">
        <f>H43/0.877</f>
        <v>9.9105465174169307</v>
      </c>
      <c r="H43" s="44">
        <f>IF(Futterberechnung!B$10=" ",'Futterkurve Mast'!I$46,IF(Futterberechnung!B$10="W",'Futterkurve Mast'!I$82,IF(Futterberechnung!B$10="M",'Futterkurve Mast'!I$118,'Futterkurve Mast'!I$46)))</f>
        <v>8.6915492957746476</v>
      </c>
      <c r="I43" s="44">
        <f t="shared" si="16"/>
        <v>5.4508005845793122</v>
      </c>
      <c r="J43" s="44">
        <f t="shared" si="16"/>
        <v>4.7803521126760566</v>
      </c>
      <c r="K43" s="44">
        <f t="shared" si="17"/>
        <v>6.4418552363210049</v>
      </c>
      <c r="L43" s="44">
        <f t="shared" si="17"/>
        <v>5.6495070422535214</v>
      </c>
      <c r="M43" s="44">
        <f t="shared" si="18"/>
        <v>1.7838983731350475</v>
      </c>
      <c r="N43" s="44">
        <f t="shared" si="18"/>
        <v>1.5644788732394366</v>
      </c>
      <c r="O43" s="44">
        <f t="shared" si="20"/>
        <v>5.6430000000000007</v>
      </c>
      <c r="P43" s="44">
        <f t="shared" si="21"/>
        <v>4.5878048780487815</v>
      </c>
      <c r="Q43" s="44">
        <f>'Futterkurve Mast'!I$45</f>
        <v>2.6492957746478876</v>
      </c>
      <c r="R43" s="44">
        <f>D43*1/13.4</f>
        <v>0.9850746268656716</v>
      </c>
      <c r="S43" s="1544">
        <f t="shared" si="15"/>
        <v>1.8480000000000001</v>
      </c>
      <c r="T43" s="1281">
        <v>1</v>
      </c>
      <c r="U43" s="69">
        <f>ROUND(I43/$G43,2)</f>
        <v>0.55000000000000004</v>
      </c>
      <c r="V43" s="69">
        <f>ROUND(K43/$G43,2)</f>
        <v>0.65</v>
      </c>
      <c r="W43" s="1041">
        <f>ROUND(M43/$G43,2)</f>
        <v>0.18</v>
      </c>
      <c r="X43" s="69">
        <f>ROUND(G43/D43,2)</f>
        <v>0.75</v>
      </c>
      <c r="Y43" s="69">
        <f>H43/D43</f>
        <v>0.65845070422535212</v>
      </c>
      <c r="Z43" s="69">
        <f>ROUND(O43/P43,2)</f>
        <v>1.23</v>
      </c>
      <c r="AA43" s="69">
        <f>ROUND(O43/Q43,2)</f>
        <v>2.13</v>
      </c>
      <c r="AB43" s="156">
        <v>40</v>
      </c>
      <c r="AC43" s="160" t="s">
        <v>1022</v>
      </c>
      <c r="AD43" s="44">
        <f t="shared" si="19"/>
        <v>2.8616703069041391</v>
      </c>
      <c r="AE43" s="728">
        <f t="shared" si="19"/>
        <v>2.5096848591549299</v>
      </c>
      <c r="AF43" s="728">
        <f>G43*100/E43</f>
        <v>5.9180625371384519</v>
      </c>
      <c r="AH43" s="724"/>
      <c r="AK43" s="40">
        <f>18*$D43/13.4</f>
        <v>17.731343283582088</v>
      </c>
      <c r="AL43" s="40">
        <f>10*$D43/13.4</f>
        <v>9.8507462686567155</v>
      </c>
      <c r="AN43" s="719">
        <v>6000</v>
      </c>
      <c r="AO43" s="719">
        <v>1500</v>
      </c>
      <c r="AP43" s="719">
        <v>60</v>
      </c>
      <c r="AS43" s="1354">
        <v>70</v>
      </c>
      <c r="AT43" s="1355">
        <v>120</v>
      </c>
    </row>
    <row r="44" spans="1:46" ht="7.5" customHeight="1">
      <c r="A44" s="13" t="str">
        <f>IF(C44="","",C44)</f>
        <v/>
      </c>
      <c r="B44" s="1346" t="str">
        <f>IF(G44=""," ",COUNTA($G$11:G43))</f>
        <v xml:space="preserve"> </v>
      </c>
      <c r="C44" s="1550"/>
      <c r="E44" s="1261"/>
      <c r="F44" s="65"/>
      <c r="G44" s="40"/>
      <c r="H44" s="40"/>
      <c r="I44" s="43"/>
      <c r="J44" s="40"/>
      <c r="K44" s="40"/>
      <c r="L44" s="40"/>
      <c r="M44" s="40"/>
      <c r="N44" s="40"/>
      <c r="O44" s="43"/>
      <c r="P44" s="40"/>
      <c r="Q44" s="40"/>
      <c r="R44" s="43"/>
      <c r="S44" s="43"/>
      <c r="T44" s="1037"/>
      <c r="U44" s="64"/>
      <c r="V44" s="64"/>
      <c r="W44" s="1038"/>
      <c r="X44" s="51"/>
      <c r="Y44" s="51"/>
      <c r="Z44" s="51"/>
      <c r="AA44" s="51"/>
      <c r="AD44" s="40"/>
      <c r="AE44" s="714"/>
      <c r="AF44" s="714"/>
      <c r="AH44" s="724"/>
      <c r="AS44" s="24"/>
      <c r="AT44" s="24"/>
    </row>
    <row r="45" spans="1:46" ht="12.75" customHeight="1">
      <c r="B45" s="1346"/>
      <c r="C45" s="1548" t="s">
        <v>822</v>
      </c>
      <c r="D45" s="31" t="s">
        <v>95</v>
      </c>
      <c r="E45" s="1261"/>
      <c r="F45" s="65"/>
      <c r="G45" s="40"/>
      <c r="H45" s="40"/>
      <c r="I45" s="43"/>
      <c r="J45" s="40"/>
      <c r="K45" s="40"/>
      <c r="L45" s="40"/>
      <c r="M45" s="40"/>
      <c r="N45" s="40"/>
      <c r="O45" s="43"/>
      <c r="P45" s="40"/>
      <c r="Q45" s="40"/>
      <c r="R45" s="43"/>
      <c r="S45" s="43"/>
      <c r="T45" s="1037"/>
      <c r="U45" s="64"/>
      <c r="V45" s="64"/>
      <c r="W45" s="1038"/>
      <c r="X45" s="51"/>
      <c r="Y45" s="51"/>
      <c r="Z45" s="51"/>
      <c r="AA45" s="51"/>
      <c r="AD45" s="40"/>
      <c r="AE45" s="714"/>
      <c r="AF45" s="714"/>
      <c r="AH45" s="724"/>
      <c r="AS45" s="24"/>
      <c r="AT45" s="24"/>
    </row>
    <row r="46" spans="1:46">
      <c r="A46" s="13" t="str">
        <f>IF(C46="","",C46)</f>
        <v>ab 60 kg LM</v>
      </c>
      <c r="B46" s="1346" t="str">
        <f>IF(G46=""," ",COUNTA($G$11:G60))</f>
        <v xml:space="preserve"> </v>
      </c>
      <c r="C46" s="1554" t="s">
        <v>824</v>
      </c>
      <c r="D46" s="31"/>
      <c r="E46" s="1261"/>
      <c r="F46" s="65"/>
      <c r="G46" s="40"/>
      <c r="H46" s="40"/>
      <c r="I46" s="43"/>
      <c r="J46" s="40"/>
      <c r="K46" s="40"/>
      <c r="L46" s="40"/>
      <c r="M46" s="40"/>
      <c r="N46" s="40"/>
      <c r="O46" s="40"/>
      <c r="P46" s="40"/>
      <c r="Q46" s="40"/>
      <c r="R46" s="43"/>
      <c r="S46" s="43"/>
      <c r="T46" s="1037"/>
      <c r="U46" s="64"/>
      <c r="V46" s="64"/>
      <c r="W46" s="1038"/>
      <c r="X46" s="51"/>
      <c r="Y46" s="51"/>
      <c r="Z46" s="51"/>
      <c r="AA46" s="51"/>
      <c r="AD46" s="40"/>
      <c r="AE46" s="714"/>
      <c r="AF46" s="714"/>
      <c r="AH46" s="724"/>
      <c r="AS46" s="24"/>
      <c r="AT46" s="24"/>
    </row>
    <row r="47" spans="1:46">
      <c r="A47" s="13" t="str">
        <f>IF(C47="","",C47)</f>
        <v>Mittelmast ab 60 Kg LM für 750 g TZ*</v>
      </c>
      <c r="B47" s="1346">
        <f>IF(G47=""," ",COUNTA($G$11:G46))</f>
        <v>15</v>
      </c>
      <c r="C47" s="1550" t="str">
        <f>IF(Futterberechnung!$B$10="","Mittelmast ab 60 Kg LM für 750 g TZ*",IF(Futterberechnung!$B$10="w","Mittelmast ab 60 Kg LM für 720 g TZ*",IF(Futterberechnung!$B$10="m","Mittelmast ab 60 Kg LM für 770 g TZ*","Mittelmast ab 60 Kg LM für 750 g TZ*")))</f>
        <v>Mittelmast ab 60 Kg LM für 750 g TZ*</v>
      </c>
      <c r="D47" s="164">
        <f>'Futterkurve Mast'!K$7</f>
        <v>13</v>
      </c>
      <c r="E47" s="1262">
        <f>IF(AND(Futterberechnung!$B$10="m",'Futterkurve Mast'!$T$6="hp"),(155*D47/13.4)-(155*D47/13.4)*0.03,IF(Futterberechnung!$B$10="m",(150*D47/13.4)-(150*D47/13.4)*0.03,IF('Futterkurve Mast'!$T$6="HP",155*D47/13.4,150*D47/13.4)))</f>
        <v>145.52238805970148</v>
      </c>
      <c r="F47" s="65">
        <f>ROUND(E47*0.874,0)</f>
        <v>127</v>
      </c>
      <c r="G47" s="40">
        <f>H47/0.874</f>
        <v>8.4450256074970032</v>
      </c>
      <c r="H47" s="40">
        <f>IF(Futterberechnung!B$10=" ",'Futterkurve Mast'!K20,IF(Futterberechnung!B$10="W",'Futterkurve Mast'!K60,IF(Futterberechnung!B$10="M",'Futterkurve Mast'!K96,'Futterkurve Mast'!K20)))</f>
        <v>7.3809523809523805</v>
      </c>
      <c r="I47" s="43">
        <f t="shared" ref="I47:J49" si="22">G47*0.55</f>
        <v>4.6447640841233522</v>
      </c>
      <c r="J47" s="43">
        <f t="shared" si="22"/>
        <v>4.0595238095238093</v>
      </c>
      <c r="K47" s="40">
        <f t="shared" ref="K47:L49" si="23">G47*0.65</f>
        <v>5.4892666448730525</v>
      </c>
      <c r="L47" s="40">
        <f t="shared" si="23"/>
        <v>4.7976190476190474</v>
      </c>
      <c r="M47" s="40">
        <f t="shared" ref="M47:N49" si="24">G47*0.18</f>
        <v>1.5201046093494606</v>
      </c>
      <c r="N47" s="40">
        <f t="shared" si="24"/>
        <v>1.3285714285714285</v>
      </c>
      <c r="O47" s="43">
        <f>Q47*2.12</f>
        <v>4.9163809523809521</v>
      </c>
      <c r="P47" s="43">
        <f>O47/1.18</f>
        <v>4.166424535916061</v>
      </c>
      <c r="Q47" s="40">
        <f>'Futterkurve Mast'!K19</f>
        <v>2.3190476190476188</v>
      </c>
      <c r="R47" s="43">
        <f>D47*1/13.4</f>
        <v>0.97014925373134331</v>
      </c>
      <c r="S47" s="43">
        <f>0.13*D47</f>
        <v>1.69</v>
      </c>
      <c r="T47" s="1037">
        <v>1</v>
      </c>
      <c r="U47" s="64">
        <f>ROUND(I47/$G47,2)</f>
        <v>0.55000000000000004</v>
      </c>
      <c r="V47" s="64">
        <f>ROUND(K47/$G47,2)</f>
        <v>0.65</v>
      </c>
      <c r="W47" s="1038">
        <f>ROUND(M47/$G47,2)</f>
        <v>0.18</v>
      </c>
      <c r="X47" s="51">
        <f>ROUND(G47/D47,2)</f>
        <v>0.65</v>
      </c>
      <c r="Y47" s="51">
        <f>H47/D47</f>
        <v>0.56776556776556775</v>
      </c>
      <c r="Z47" s="51">
        <f>ROUND(O47/P47,2)</f>
        <v>1.18</v>
      </c>
      <c r="AA47" s="51">
        <f>ROUND(O47/Q47,2)</f>
        <v>2.12</v>
      </c>
      <c r="AB47" s="153">
        <v>45</v>
      </c>
      <c r="AC47" s="159" t="s">
        <v>314</v>
      </c>
      <c r="AD47" s="40">
        <f t="shared" ref="AD47:AE49" si="25">I47*0.525</f>
        <v>2.4385011441647602</v>
      </c>
      <c r="AE47" s="714">
        <f t="shared" si="25"/>
        <v>2.1312500000000001</v>
      </c>
      <c r="AF47" s="714">
        <f>G47*100/E47</f>
        <v>5.8032483661774288</v>
      </c>
      <c r="AH47" s="724"/>
      <c r="AK47" s="40">
        <f>18*$D47/13.4</f>
        <v>17.46268656716418</v>
      </c>
      <c r="AL47" s="40">
        <f>10*$D47/13.4</f>
        <v>9.7014925373134329</v>
      </c>
      <c r="AN47" s="719">
        <v>5000</v>
      </c>
      <c r="AO47" s="719">
        <v>1000</v>
      </c>
      <c r="AP47" s="719">
        <v>50</v>
      </c>
      <c r="AS47" s="1354">
        <v>70</v>
      </c>
      <c r="AT47" s="1355">
        <v>120</v>
      </c>
    </row>
    <row r="48" spans="1:46">
      <c r="A48" s="13" t="str">
        <f>IF(C48="","",C48)</f>
        <v>Mittelmast ab 60 Kg LM für 850 g TZ*</v>
      </c>
      <c r="B48" s="1346">
        <f>IF(G48=""," ",COUNTA($G$11:G47))</f>
        <v>16</v>
      </c>
      <c r="C48" s="1552" t="str">
        <f>IF(Futterberechnung!$B$10="","Mittelmast ab 60 Kg LM für 850 g TZ*",IF(Futterberechnung!$B$10="w","Mittelmast ab 60 Kg LM für 820 g TZ*",IF(Futterberechnung!$B$10="m","Mittelmast ab 60 Kg LM für 870 g TZ*","Mittelmast ab 60 Kg LM für 850 g TZ*")))</f>
        <v>Mittelmast ab 60 Kg LM für 850 g TZ*</v>
      </c>
      <c r="D48" s="164">
        <f>'Futterkurve Mast'!K$7</f>
        <v>13</v>
      </c>
      <c r="E48" s="1262">
        <f>IF(AND(Futterberechnung!$B$10="m",'Futterkurve Mast'!$T$6="hp"),(160*D48/13.4)-(160*D48/13.4)*0.03,IF(Futterberechnung!$B$10="m",(155*D48/13.4)-(155*D48/13.4)*0.03,IF('Futterkurve Mast'!$T$6="HP",160*D48/13.4,155*D48/13.4)))</f>
        <v>150.37313432835822</v>
      </c>
      <c r="F48" s="65">
        <f>ROUND(E48*0.874,0)</f>
        <v>131</v>
      </c>
      <c r="G48" s="40">
        <f>H48/0.874</f>
        <v>8.7569606610382618</v>
      </c>
      <c r="H48" s="40">
        <f>IF(Futterberechnung!B$10=" ",'Futterkurve Mast'!K33,IF(Futterberechnung!B$10="W",'Futterkurve Mast'!K71,IF(Futterberechnung!B$10="M",'Futterkurve Mast'!K107,'Futterkurve Mast'!K33)))</f>
        <v>7.6535836177474401</v>
      </c>
      <c r="I48" s="43">
        <f t="shared" si="22"/>
        <v>4.8163283635710448</v>
      </c>
      <c r="J48" s="43">
        <f t="shared" si="22"/>
        <v>4.2094709897610922</v>
      </c>
      <c r="K48" s="40">
        <f t="shared" si="23"/>
        <v>5.6920244296748708</v>
      </c>
      <c r="L48" s="40">
        <f t="shared" si="23"/>
        <v>4.9748293515358366</v>
      </c>
      <c r="M48" s="40">
        <f t="shared" si="24"/>
        <v>1.576252918986887</v>
      </c>
      <c r="N48" s="40">
        <f t="shared" si="24"/>
        <v>1.3776450511945391</v>
      </c>
      <c r="O48" s="43">
        <f t="shared" ref="O48:O49" si="26">Q48*2.12</f>
        <v>5.1263481228668946</v>
      </c>
      <c r="P48" s="43">
        <f t="shared" ref="P48:P49" si="27">O48/1.18</f>
        <v>4.3443628159888936</v>
      </c>
      <c r="Q48" s="40">
        <f>'Futterkurve Mast'!K32</f>
        <v>2.4180887372013653</v>
      </c>
      <c r="R48" s="43">
        <f>D48*1/13.4</f>
        <v>0.97014925373134331</v>
      </c>
      <c r="S48" s="43">
        <f>0.13*D48</f>
        <v>1.69</v>
      </c>
      <c r="T48" s="1037">
        <v>1</v>
      </c>
      <c r="U48" s="64">
        <f>ROUND(I48/$G48,2)</f>
        <v>0.55000000000000004</v>
      </c>
      <c r="V48" s="64">
        <f>ROUND(K48/$G48,2)</f>
        <v>0.65</v>
      </c>
      <c r="W48" s="1038">
        <f>ROUND(M48/$G48,2)</f>
        <v>0.18</v>
      </c>
      <c r="X48" s="51">
        <f>ROUND(G48/D48,2)</f>
        <v>0.67</v>
      </c>
      <c r="Y48" s="51">
        <f>H48/D48</f>
        <v>0.5887372013651877</v>
      </c>
      <c r="Z48" s="51">
        <f>ROUND(O48/P48,2)</f>
        <v>1.18</v>
      </c>
      <c r="AA48" s="51">
        <f>ROUND(O48/Q48,2)</f>
        <v>2.12</v>
      </c>
      <c r="AB48" s="153">
        <v>45</v>
      </c>
      <c r="AC48" s="159" t="s">
        <v>314</v>
      </c>
      <c r="AD48" s="40">
        <f t="shared" si="25"/>
        <v>2.5285723908747988</v>
      </c>
      <c r="AE48" s="714">
        <f t="shared" si="25"/>
        <v>2.2099722696245734</v>
      </c>
      <c r="AF48" s="714">
        <f>G48*100/E48</f>
        <v>5.823487486745047</v>
      </c>
      <c r="AH48" s="724"/>
      <c r="AK48" s="40">
        <f>18*$D48/13.4</f>
        <v>17.46268656716418</v>
      </c>
      <c r="AL48" s="40">
        <f>10*$D48/13.4</f>
        <v>9.7014925373134329</v>
      </c>
      <c r="AN48" s="719">
        <v>5000</v>
      </c>
      <c r="AO48" s="719">
        <v>1000</v>
      </c>
      <c r="AP48" s="719">
        <v>50</v>
      </c>
      <c r="AS48" s="1354">
        <v>70</v>
      </c>
      <c r="AT48" s="1355">
        <v>120</v>
      </c>
    </row>
    <row r="49" spans="1:46">
      <c r="A49" s="13" t="str">
        <f>IF(C49="","",C49)</f>
        <v>Mittelmast ab 60 Kg LM für 950 g TZ*</v>
      </c>
      <c r="B49" s="1346">
        <f>IF(G49=""," ",COUNTA($G$11:G48))</f>
        <v>17</v>
      </c>
      <c r="C49" s="1550" t="str">
        <f>IF(Futterberechnung!$B$10="","Mittelmast ab 60 Kg LM für 950 g TZ*",IF(Futterberechnung!$B$10="w","Mittelmast ab 60 Kg LM für 920 g TZ*",IF(Futterberechnung!$B$10="m","Mittelmast ab 60 Kg LM für 970 g TZ*","Mittelmast ab 60 Kg LM für 950 g TZ*")))</f>
        <v>Mittelmast ab 60 Kg LM für 950 g TZ*</v>
      </c>
      <c r="D49" s="164">
        <f>'Futterkurve Mast'!K$7</f>
        <v>13</v>
      </c>
      <c r="E49" s="1262">
        <f>IF(AND(Futterberechnung!$B$10="m",'Futterkurve Mast'!$T$6="hp"),(165*D49/13.4)-(165*D49/13.4)*0.03,IF(Futterberechnung!$B$10="m",(160*D49/13.4)-(160*D49/13.4)*0.03,IF('Futterkurve Mast'!$T$6="HP",165*D49/13.4,160*D49/13.4)))</f>
        <v>155.22388059701493</v>
      </c>
      <c r="F49" s="65">
        <f>ROUND(E49*0.874,0)</f>
        <v>136</v>
      </c>
      <c r="G49" s="40">
        <f>H49/0.874</f>
        <v>9.0052711999473605</v>
      </c>
      <c r="H49" s="40">
        <f>IF(Futterberechnung!B$10=" ",'Futterkurve Mast'!K46,IF(Futterberechnung!B$10="W",'Futterkurve Mast'!K82,IF(Futterberechnung!B$10="M",'Futterkurve Mast'!K118,'Futterkurve Mast'!K46)))</f>
        <v>7.8706070287539935</v>
      </c>
      <c r="I49" s="43">
        <f t="shared" si="22"/>
        <v>4.9528991599710483</v>
      </c>
      <c r="J49" s="43">
        <f t="shared" si="22"/>
        <v>4.3288338658146968</v>
      </c>
      <c r="K49" s="40">
        <f t="shared" si="23"/>
        <v>5.8534262799657846</v>
      </c>
      <c r="L49" s="40">
        <f t="shared" si="23"/>
        <v>5.1158945686900958</v>
      </c>
      <c r="M49" s="40">
        <f t="shared" si="24"/>
        <v>1.6209488159905248</v>
      </c>
      <c r="N49" s="40">
        <f t="shared" si="24"/>
        <v>1.4167092651757187</v>
      </c>
      <c r="O49" s="43">
        <f t="shared" si="26"/>
        <v>5.2390415335463265</v>
      </c>
      <c r="P49" s="43">
        <f t="shared" si="27"/>
        <v>4.4398657063951923</v>
      </c>
      <c r="Q49" s="40">
        <f>'Futterkurve Mast'!K45</f>
        <v>2.4712460063897765</v>
      </c>
      <c r="R49" s="43">
        <f>D49*1/13.4</f>
        <v>0.97014925373134331</v>
      </c>
      <c r="S49" s="43">
        <f>0.13*D49</f>
        <v>1.69</v>
      </c>
      <c r="T49" s="1037">
        <v>1</v>
      </c>
      <c r="U49" s="64">
        <f>ROUND(I49/$G49,2)</f>
        <v>0.55000000000000004</v>
      </c>
      <c r="V49" s="64">
        <f>ROUND(K49/$G49,2)</f>
        <v>0.65</v>
      </c>
      <c r="W49" s="1038">
        <f>ROUND(M49/$G49,2)</f>
        <v>0.18</v>
      </c>
      <c r="X49" s="51">
        <f>ROUND(G49/D49,2)</f>
        <v>0.69</v>
      </c>
      <c r="Y49" s="51">
        <f>H49/D49</f>
        <v>0.60543130990415339</v>
      </c>
      <c r="Z49" s="51">
        <f>ROUND(O49/P49,2)</f>
        <v>1.18</v>
      </c>
      <c r="AA49" s="51">
        <f>ROUND(O49/Q49,2)</f>
        <v>2.12</v>
      </c>
      <c r="AB49" s="153">
        <v>45</v>
      </c>
      <c r="AC49" s="159" t="s">
        <v>314</v>
      </c>
      <c r="AD49" s="40">
        <f t="shared" si="25"/>
        <v>2.6002720589848005</v>
      </c>
      <c r="AE49" s="714">
        <f t="shared" si="25"/>
        <v>2.2726377795527157</v>
      </c>
      <c r="AF49" s="714">
        <f>G49*100/E49</f>
        <v>5.8014727922737803</v>
      </c>
      <c r="AH49" s="724"/>
      <c r="AK49" s="40">
        <f>18*$D49/13.4</f>
        <v>17.46268656716418</v>
      </c>
      <c r="AL49" s="40">
        <f>10*$D49/13.4</f>
        <v>9.7014925373134329</v>
      </c>
      <c r="AN49" s="719">
        <v>5000</v>
      </c>
      <c r="AO49" s="719">
        <v>1000</v>
      </c>
      <c r="AP49" s="719">
        <v>50</v>
      </c>
      <c r="AS49" s="1354">
        <v>70</v>
      </c>
      <c r="AT49" s="1355">
        <v>120</v>
      </c>
    </row>
    <row r="50" spans="1:46" ht="7.5" customHeight="1">
      <c r="A50" s="13" t="str">
        <f t="shared" si="0"/>
        <v/>
      </c>
      <c r="B50" s="1346" t="str">
        <f>IF(G50=""," ",COUNTA($G$11:G43))</f>
        <v xml:space="preserve"> </v>
      </c>
      <c r="C50" s="1550"/>
      <c r="E50" s="1261"/>
      <c r="F50" s="65"/>
      <c r="G50" s="40"/>
      <c r="H50" s="40"/>
      <c r="I50" s="43"/>
      <c r="J50" s="40"/>
      <c r="K50" s="40"/>
      <c r="L50" s="40"/>
      <c r="M50" s="40"/>
      <c r="N50" s="40"/>
      <c r="O50" s="40"/>
      <c r="P50" s="40"/>
      <c r="Q50" s="40"/>
      <c r="R50" s="43"/>
      <c r="S50" s="43"/>
      <c r="T50" s="1037"/>
      <c r="U50" s="64"/>
      <c r="V50" s="64"/>
      <c r="W50" s="1038"/>
      <c r="X50" s="51"/>
      <c r="Y50" s="51"/>
      <c r="Z50" s="51"/>
      <c r="AA50" s="51"/>
      <c r="AD50" s="40"/>
      <c r="AE50" s="714"/>
      <c r="AF50" s="714"/>
      <c r="AH50" s="724"/>
      <c r="AS50" s="24"/>
      <c r="AT50" s="24"/>
    </row>
    <row r="51" spans="1:46">
      <c r="A51" s="13" t="str">
        <f t="shared" si="0"/>
        <v>ab 70 kg LM</v>
      </c>
      <c r="B51" s="1346" t="str">
        <f>IF(G51=""," ",COUNTA($G$11:G50))</f>
        <v xml:space="preserve"> </v>
      </c>
      <c r="C51" s="1554" t="s">
        <v>823</v>
      </c>
      <c r="D51" s="31"/>
      <c r="E51" s="1261"/>
      <c r="F51" s="65"/>
      <c r="G51" s="40"/>
      <c r="H51" s="40"/>
      <c r="I51" s="43"/>
      <c r="J51" s="40"/>
      <c r="K51" s="40"/>
      <c r="L51" s="40"/>
      <c r="M51" s="40"/>
      <c r="N51" s="40"/>
      <c r="O51" s="40"/>
      <c r="P51" s="40"/>
      <c r="Q51" s="40"/>
      <c r="R51" s="43"/>
      <c r="S51" s="43"/>
      <c r="T51" s="1037"/>
      <c r="U51" s="64"/>
      <c r="V51" s="64"/>
      <c r="W51" s="1038"/>
      <c r="X51" s="51"/>
      <c r="Y51" s="51"/>
      <c r="Z51" s="51"/>
      <c r="AA51" s="51"/>
      <c r="AD51" s="40"/>
      <c r="AE51" s="714"/>
      <c r="AF51" s="714"/>
      <c r="AH51" s="724"/>
      <c r="AS51" s="24"/>
      <c r="AT51" s="24"/>
    </row>
    <row r="52" spans="1:46">
      <c r="A52" s="13" t="str">
        <f t="shared" si="0"/>
        <v>Mittelmast ab 70 Kg LM für 750 g TZ*</v>
      </c>
      <c r="B52" s="1346">
        <f>IF(G52=""," ",COUNTA($G$11:G51))</f>
        <v>18</v>
      </c>
      <c r="C52" s="1550" t="str">
        <f>IF(Futterberechnung!$B$10="","Mittelmast ab 70 Kg LM für 750 g TZ*",IF(Futterberechnung!$B$10="w","Mittelmast ab 70 Kg LM für 720 g TZ*",IF(Futterberechnung!$B$10="m","Mittelmast ab 70 Kg LM für 770 g TZ*","Mittelmast ab 70 Kg LM für 750 g TZ*")))</f>
        <v>Mittelmast ab 70 Kg LM für 750 g TZ*</v>
      </c>
      <c r="D52" s="166">
        <f>'Futterkurve Mast'!M$7</f>
        <v>13</v>
      </c>
      <c r="E52" s="1262">
        <f>IF(AND(Futterberechnung!$B$10="m",'Futterkurve Mast'!$T$6="hp"),(145*D52/13)-(145*D52/13)*0.03,IF(Futterberechnung!$B$10="m",(140*D52/13)-(140*D52/13)*0.03,IF('Futterkurve Mast'!$T$6="HP",140*D52/13,140*D52/13)))</f>
        <v>140</v>
      </c>
      <c r="F52" s="65">
        <f>ROUND(E52*0.87,0)</f>
        <v>122</v>
      </c>
      <c r="G52" s="43">
        <f>H52/0.87</f>
        <v>8.1040347173352103</v>
      </c>
      <c r="H52" s="40">
        <f>IF(Futterberechnung!B$10=" ",'Futterkurve Mast'!M20,IF(Futterberechnung!B$10="W",'Futterkurve Mast'!M60,IF(Futterberechnung!B$10="M",'Futterkurve Mast'!M96,'Futterkurve Mast'!M20)))</f>
        <v>7.0505102040816325</v>
      </c>
      <c r="I52" s="43">
        <f t="shared" ref="I52:J54" si="28">G52*0.55</f>
        <v>4.4572190945343664</v>
      </c>
      <c r="J52" s="43">
        <f t="shared" si="28"/>
        <v>3.8777806122448983</v>
      </c>
      <c r="K52" s="40">
        <f t="shared" ref="K52:L54" si="29">G52*0.65</f>
        <v>5.2676225662678871</v>
      </c>
      <c r="L52" s="40">
        <f t="shared" si="29"/>
        <v>4.5828316326530611</v>
      </c>
      <c r="M52" s="40">
        <f t="shared" ref="M52:N54" si="30">G52*0.18</f>
        <v>1.4587262491203379</v>
      </c>
      <c r="N52" s="40">
        <f t="shared" si="30"/>
        <v>1.2690918367346937</v>
      </c>
      <c r="O52" s="43">
        <f>Q52*2.1</f>
        <v>4.7357142857142858</v>
      </c>
      <c r="P52" s="43">
        <f>O52/1.12</f>
        <v>4.2283163265306118</v>
      </c>
      <c r="Q52" s="40">
        <f>'Futterkurve Mast'!M19</f>
        <v>2.2551020408163263</v>
      </c>
      <c r="R52" s="43">
        <f>D52*1/13</f>
        <v>1</v>
      </c>
      <c r="S52" s="43">
        <f>0.13*D52</f>
        <v>1.69</v>
      </c>
      <c r="T52" s="1037">
        <v>1</v>
      </c>
      <c r="U52" s="64">
        <f>ROUND(I52/$G52,2)</f>
        <v>0.55000000000000004</v>
      </c>
      <c r="V52" s="64">
        <f>ROUND(K52/$G52,2)</f>
        <v>0.65</v>
      </c>
      <c r="W52" s="1038">
        <f>ROUND(M52/$G52,2)</f>
        <v>0.18</v>
      </c>
      <c r="X52" s="51">
        <f>ROUND(G52/D52,2)</f>
        <v>0.62</v>
      </c>
      <c r="Y52" s="51">
        <f>H52/D52</f>
        <v>0.54234693877551021</v>
      </c>
      <c r="Z52" s="51">
        <f>ROUND(O52/P52,2)</f>
        <v>1.1200000000000001</v>
      </c>
      <c r="AA52" s="51">
        <f>ROUND(O52/Q52,2)</f>
        <v>2.1</v>
      </c>
      <c r="AB52" s="154">
        <v>45</v>
      </c>
      <c r="AC52" s="159" t="s">
        <v>314</v>
      </c>
      <c r="AD52" s="40">
        <f t="shared" ref="AD52:AE54" si="31">I52*0.525</f>
        <v>2.3400400246305426</v>
      </c>
      <c r="AE52" s="714">
        <f t="shared" si="31"/>
        <v>2.0358348214285718</v>
      </c>
      <c r="AF52" s="714">
        <f>G52*100/E52</f>
        <v>5.7885962266680071</v>
      </c>
      <c r="AH52" s="724"/>
      <c r="AK52" s="40">
        <f>18*$D52/13</f>
        <v>18</v>
      </c>
      <c r="AL52" s="40">
        <f>10*$D52/13</f>
        <v>10</v>
      </c>
      <c r="AN52" s="719">
        <v>5000</v>
      </c>
      <c r="AO52" s="719">
        <v>1000</v>
      </c>
      <c r="AP52" s="719">
        <v>50</v>
      </c>
      <c r="AS52" s="1354">
        <v>70</v>
      </c>
      <c r="AT52" s="1355">
        <v>120</v>
      </c>
    </row>
    <row r="53" spans="1:46">
      <c r="A53" s="13" t="str">
        <f t="shared" si="0"/>
        <v>Mittelmast ab 70 Kg LM für 850 g TZ*</v>
      </c>
      <c r="B53" s="1346">
        <f>IF(G53=""," ",COUNTA($G$11:G52))</f>
        <v>19</v>
      </c>
      <c r="C53" s="1552" t="str">
        <f>IF(Futterberechnung!$B$10="","Mittelmast ab 70 Kg LM für 850 g TZ*",IF(Futterberechnung!$B$10="w","Mittelmast ab 70 Kg LM für 820 g TZ*",IF(Futterberechnung!$B$10="m","Mittelmast ab 70 Kg LM für 870 g TZ*","Mittelmast ab 70 Kg LM für 850 g TZ*")))</f>
        <v>Mittelmast ab 70 Kg LM für 850 g TZ*</v>
      </c>
      <c r="D53" s="166">
        <f>'Futterkurve Mast'!M$7</f>
        <v>13</v>
      </c>
      <c r="E53" s="1262">
        <f>IF(AND(Futterberechnung!$B$10="m",'Futterkurve Mast'!$T$6="hp"),(150*D53/13)-(150*D53/13)*0.03,IF(Futterberechnung!$B$10="m",(140*D53/13)-(145*D53/13)*0.03,IF('Futterkurve Mast'!$T$6="HP",150*D53/13,145*D53/13)))</f>
        <v>145</v>
      </c>
      <c r="F53" s="65">
        <f>ROUND(E53*0.87,0)</f>
        <v>126</v>
      </c>
      <c r="G53" s="43">
        <f>H53/0.87</f>
        <v>8.3697075512876467</v>
      </c>
      <c r="H53" s="40">
        <f>IF(Futterberechnung!B$10=" ",'Futterkurve Mast'!M33,IF(Futterberechnung!B$10="W",'Futterkurve Mast'!M71,IF(Futterberechnung!B$10="M",'Futterkurve Mast'!M107,'Futterkurve Mast'!M33)))</f>
        <v>7.2816455696202524</v>
      </c>
      <c r="I53" s="43">
        <f t="shared" si="28"/>
        <v>4.6033391532082062</v>
      </c>
      <c r="J53" s="43">
        <f t="shared" si="28"/>
        <v>4.0049050632911394</v>
      </c>
      <c r="K53" s="40">
        <f t="shared" si="29"/>
        <v>5.4403099083369701</v>
      </c>
      <c r="L53" s="40">
        <f t="shared" si="29"/>
        <v>4.7330696202531639</v>
      </c>
      <c r="M53" s="40">
        <f t="shared" si="30"/>
        <v>1.5065473592317764</v>
      </c>
      <c r="N53" s="40">
        <f t="shared" si="30"/>
        <v>1.3106962025316453</v>
      </c>
      <c r="O53" s="43">
        <f>Q53*2.1</f>
        <v>4.8379746835443038</v>
      </c>
      <c r="P53" s="43">
        <f t="shared" ref="P53:P54" si="32">O53/1.12</f>
        <v>4.3196202531645564</v>
      </c>
      <c r="Q53" s="40">
        <f>'Futterkurve Mast'!M32</f>
        <v>2.3037974683544302</v>
      </c>
      <c r="R53" s="43">
        <f>D53*1/13</f>
        <v>1</v>
      </c>
      <c r="S53" s="43">
        <f>0.13*D53</f>
        <v>1.69</v>
      </c>
      <c r="T53" s="1037">
        <v>1</v>
      </c>
      <c r="U53" s="64">
        <f>ROUND(I53/$G53,2)</f>
        <v>0.55000000000000004</v>
      </c>
      <c r="V53" s="64">
        <f>ROUND(K53/$G53,2)</f>
        <v>0.65</v>
      </c>
      <c r="W53" s="1038">
        <f>ROUND(M53/$G53,2)</f>
        <v>0.18</v>
      </c>
      <c r="X53" s="51">
        <f>ROUND(G53/D53,2)</f>
        <v>0.64</v>
      </c>
      <c r="Y53" s="51">
        <f>H53/D53</f>
        <v>0.560126582278481</v>
      </c>
      <c r="Z53" s="51">
        <f>ROUND(O53/P53,2)</f>
        <v>1.1200000000000001</v>
      </c>
      <c r="AA53" s="51">
        <f>ROUND(O53/Q53,2)</f>
        <v>2.1</v>
      </c>
      <c r="AB53" s="154">
        <v>45</v>
      </c>
      <c r="AC53" s="159" t="s">
        <v>314</v>
      </c>
      <c r="AD53" s="40">
        <f t="shared" si="31"/>
        <v>2.4167530554343082</v>
      </c>
      <c r="AE53" s="714">
        <f t="shared" si="31"/>
        <v>2.1025751582278485</v>
      </c>
      <c r="AF53" s="714">
        <f>G53*100/E53</f>
        <v>5.7722121043363082</v>
      </c>
      <c r="AH53" s="724"/>
      <c r="AK53" s="40">
        <f>18*$D53/13</f>
        <v>18</v>
      </c>
      <c r="AL53" s="40">
        <f>10*$D53/13</f>
        <v>10</v>
      </c>
      <c r="AN53" s="719">
        <v>5000</v>
      </c>
      <c r="AO53" s="719">
        <v>1000</v>
      </c>
      <c r="AP53" s="719">
        <v>50</v>
      </c>
      <c r="AS53" s="1354">
        <v>70</v>
      </c>
      <c r="AT53" s="1355">
        <v>120</v>
      </c>
    </row>
    <row r="54" spans="1:46">
      <c r="A54" s="13" t="str">
        <f t="shared" si="0"/>
        <v>Mittelmast ab 70 Kg LM für 950 g TZ*</v>
      </c>
      <c r="B54" s="1346">
        <f>IF(G54=""," ",COUNTA($G$11:G53))</f>
        <v>20</v>
      </c>
      <c r="C54" s="1550" t="str">
        <f>IF(Futterberechnung!$B$10="","Mittelmast ab 70 Kg LM für 950 g TZ*",IF(Futterberechnung!$B$10="w","Mittelmast ab 70 Kg LM für 920 g TZ*",IF(Futterberechnung!$B$10="m","Mittelmast ab 70 Kg LM für 970 g TZ*","Mittelmast ab 70 Kg LM für 950 g TZ*")))</f>
        <v>Mittelmast ab 70 Kg LM für 950 g TZ*</v>
      </c>
      <c r="D54" s="166">
        <f>'Futterkurve Mast'!M$7</f>
        <v>13</v>
      </c>
      <c r="E54" s="1264">
        <f>IF(AND(Futterberechnung!$B$10="m",'Futterkurve Mast'!$T$6="hp"),(155*D54/13)-(155*D54/13)*0.03,IF(Futterberechnung!$B$10="m",(150*D54/13)-(150*D54/13)*0.03,IF('Futterkurve Mast'!$T$6="HP",155*D54/13,150*D54/13)))</f>
        <v>150</v>
      </c>
      <c r="F54" s="65">
        <f>ROUND(E54*0.87,0)</f>
        <v>131</v>
      </c>
      <c r="G54" s="43">
        <f>H54/0.87</f>
        <v>8.4689109451209106</v>
      </c>
      <c r="H54" s="43">
        <f>IF(Futterberechnung!B$10=" ",'Futterkurve Mast'!M46,IF(Futterberechnung!B$10="W",'Futterkurve Mast'!M82,IF(Futterberechnung!B$10="M",'Futterkurve Mast'!M118,'Futterkurve Mast'!M46)))</f>
        <v>7.3679525222551927</v>
      </c>
      <c r="I54" s="43">
        <f t="shared" si="28"/>
        <v>4.6579010198165012</v>
      </c>
      <c r="J54" s="43">
        <f t="shared" si="28"/>
        <v>4.0523738872403561</v>
      </c>
      <c r="K54" s="43">
        <f t="shared" si="29"/>
        <v>5.5047921143285921</v>
      </c>
      <c r="L54" s="43">
        <f t="shared" si="29"/>
        <v>4.7891691394658755</v>
      </c>
      <c r="M54" s="43">
        <f t="shared" si="30"/>
        <v>1.5244039701217638</v>
      </c>
      <c r="N54" s="43">
        <f t="shared" si="30"/>
        <v>1.3262314540059346</v>
      </c>
      <c r="O54" s="43">
        <f>Q54*2.1</f>
        <v>4.9415430267062312</v>
      </c>
      <c r="P54" s="43">
        <f t="shared" si="32"/>
        <v>4.4120919881305634</v>
      </c>
      <c r="Q54" s="43">
        <f>'Futterkurve Mast'!M45</f>
        <v>2.353115727002967</v>
      </c>
      <c r="R54" s="43">
        <f>D54*1/13</f>
        <v>1</v>
      </c>
      <c r="S54" s="43">
        <f>0.13*D54</f>
        <v>1.69</v>
      </c>
      <c r="T54" s="1037">
        <v>1</v>
      </c>
      <c r="U54" s="64">
        <f>ROUND(I54/$G54,2)</f>
        <v>0.55000000000000004</v>
      </c>
      <c r="V54" s="64">
        <f>ROUND(K54/$G54,2)</f>
        <v>0.65</v>
      </c>
      <c r="W54" s="1038">
        <f>ROUND(M54/$G54,2)</f>
        <v>0.18</v>
      </c>
      <c r="X54" s="64">
        <f>ROUND(G54/D54,2)</f>
        <v>0.65</v>
      </c>
      <c r="Y54" s="64">
        <f>H54/D54</f>
        <v>0.56676557863501487</v>
      </c>
      <c r="Z54" s="64">
        <f>ROUND(O54/P54,2)</f>
        <v>1.1200000000000001</v>
      </c>
      <c r="AA54" s="64">
        <f>ROUND(O54/Q54,2)</f>
        <v>2.1</v>
      </c>
      <c r="AB54" s="154">
        <v>45</v>
      </c>
      <c r="AC54" s="159" t="s">
        <v>314</v>
      </c>
      <c r="AD54" s="43">
        <f t="shared" si="31"/>
        <v>2.4453980354036631</v>
      </c>
      <c r="AE54" s="726">
        <f t="shared" si="31"/>
        <v>2.127496290801187</v>
      </c>
      <c r="AF54" s="726">
        <f>G54*100/E54</f>
        <v>5.6459406300806068</v>
      </c>
      <c r="AH54" s="724"/>
      <c r="AK54" s="40">
        <f>18*$D54/13</f>
        <v>18</v>
      </c>
      <c r="AL54" s="40">
        <f>10*$D54/13</f>
        <v>10</v>
      </c>
      <c r="AN54" s="719">
        <v>5000</v>
      </c>
      <c r="AO54" s="719">
        <v>1000</v>
      </c>
      <c r="AP54" s="719">
        <v>50</v>
      </c>
      <c r="AS54" s="1354">
        <v>70</v>
      </c>
      <c r="AT54" s="1355">
        <v>120</v>
      </c>
    </row>
    <row r="55" spans="1:46" ht="7.5" customHeight="1">
      <c r="A55" s="13" t="str">
        <f t="shared" si="0"/>
        <v/>
      </c>
      <c r="B55" s="1346" t="str">
        <f>IF(G55=""," ",COUNTA($G$11:G54))</f>
        <v xml:space="preserve"> </v>
      </c>
      <c r="C55" s="1550"/>
      <c r="E55" s="1261"/>
      <c r="F55" s="65"/>
      <c r="G55" s="40"/>
      <c r="H55" s="40"/>
      <c r="I55" s="43"/>
      <c r="J55" s="40"/>
      <c r="K55" s="40"/>
      <c r="L55" s="40"/>
      <c r="M55" s="40"/>
      <c r="N55" s="40"/>
      <c r="O55" s="43"/>
      <c r="P55" s="43"/>
      <c r="Q55" s="40"/>
      <c r="R55" s="43"/>
      <c r="S55" s="43"/>
      <c r="T55" s="1037"/>
      <c r="U55" s="64"/>
      <c r="V55" s="64"/>
      <c r="W55" s="1038"/>
      <c r="X55" s="51"/>
      <c r="Y55" s="51"/>
      <c r="Z55" s="51"/>
      <c r="AA55" s="51"/>
      <c r="AD55" s="40"/>
      <c r="AE55" s="714"/>
      <c r="AF55" s="714"/>
      <c r="AH55" s="724"/>
      <c r="AS55" s="24"/>
      <c r="AT55" s="24"/>
    </row>
    <row r="56" spans="1:46">
      <c r="A56" s="13" t="str">
        <f t="shared" si="0"/>
        <v>ab 80 kg LM</v>
      </c>
      <c r="B56" s="1346" t="str">
        <f>IF(G56=""," ",COUNTA($G$11:G55))</f>
        <v xml:space="preserve"> </v>
      </c>
      <c r="C56" s="1554" t="s">
        <v>1044</v>
      </c>
      <c r="D56" s="1345"/>
      <c r="E56" s="1261"/>
      <c r="F56" s="65"/>
      <c r="G56" s="40"/>
      <c r="H56" s="40"/>
      <c r="I56" s="43"/>
      <c r="J56" s="40"/>
      <c r="K56" s="40"/>
      <c r="L56" s="40"/>
      <c r="M56" s="40"/>
      <c r="N56" s="40"/>
      <c r="O56" s="40"/>
      <c r="P56" s="40"/>
      <c r="Q56" s="40"/>
      <c r="R56" s="43"/>
      <c r="S56" s="43"/>
      <c r="T56" s="1037"/>
      <c r="U56" s="64"/>
      <c r="V56" s="64"/>
      <c r="W56" s="1038"/>
      <c r="X56" s="51"/>
      <c r="Y56" s="51"/>
      <c r="Z56" s="51"/>
      <c r="AA56" s="51"/>
      <c r="AD56" s="40"/>
      <c r="AE56" s="714"/>
      <c r="AF56" s="714"/>
      <c r="AH56" s="724"/>
      <c r="AS56" s="24"/>
      <c r="AT56" s="24"/>
    </row>
    <row r="57" spans="1:46">
      <c r="A57" s="13" t="str">
        <f t="shared" si="0"/>
        <v>Mittelmast ab 80 Kg LM für 750 g TZ*</v>
      </c>
      <c r="B57" s="1346">
        <f>IF(G57=""," ",COUNTA($G$11:G56))</f>
        <v>21</v>
      </c>
      <c r="C57" s="1349" t="str">
        <f>IF(Futterberechnung!$B$10="","Mittelmast ab 80 Kg LM für 750 g TZ*",IF(Futterberechnung!$B$10="w","Mittelmast ab 80 Kg LM für 720 g TZ*",IF(Futterberechnung!$B$10="m","Mittelmast ab 80 Kg LM für 770 g TZ*","Mittelmast ab 80 Kg LM für 750 g TZ*")))</f>
        <v>Mittelmast ab 80 Kg LM für 750 g TZ*</v>
      </c>
      <c r="D57" s="166">
        <f>'Futterkurve Mast'!M$7</f>
        <v>13</v>
      </c>
      <c r="E57" s="1262">
        <f>IF(AND(Futterberechnung!$B$10="m",'Futterkurve Mast'!$T$6="hp"),(140*D57/13)-(140*D57/13)*0.03,IF(Futterberechnung!$B$10="m",(135*D57/13)-(135*D57/13)*0.03,IF('Futterkurve Mast'!$T$6="HP",140*D57/13,135*D57/13)))</f>
        <v>135</v>
      </c>
      <c r="F57" s="65">
        <f>ROUND(E57*0.865,0)</f>
        <v>117</v>
      </c>
      <c r="G57" s="43">
        <f>H57/0.865</f>
        <v>7.9735330743638837</v>
      </c>
      <c r="H57" s="40">
        <f>IF(Futterberechnung!B$10=" ",'Futterkurve Mast'!O$20,IF(Futterberechnung!B$10="W",'Futterkurve Mast'!O$60,IF(Futterberechnung!B$10="M",'Futterkurve Mast'!O$96,'Futterkurve Mast'!O$20)))</f>
        <v>6.897106109324759</v>
      </c>
      <c r="I57" s="43">
        <f t="shared" ref="I57:J59" si="33">G57*0.55</f>
        <v>4.3854431909001361</v>
      </c>
      <c r="J57" s="43">
        <f t="shared" si="33"/>
        <v>3.7934083601286179</v>
      </c>
      <c r="K57" s="40">
        <f t="shared" ref="K57:L59" si="34">G57*0.65</f>
        <v>5.1827964983365247</v>
      </c>
      <c r="L57" s="40">
        <f t="shared" si="34"/>
        <v>4.4831189710610939</v>
      </c>
      <c r="M57" s="40">
        <f t="shared" ref="M57:N59" si="35">G57*0.18</f>
        <v>1.435235953385499</v>
      </c>
      <c r="N57" s="40">
        <f t="shared" si="35"/>
        <v>1.2414790996784566</v>
      </c>
      <c r="O57" s="43">
        <f>Q57*2.03</f>
        <v>4.2257942122186494</v>
      </c>
      <c r="P57" s="43">
        <f>O57/1.13</f>
        <v>3.7396408957687166</v>
      </c>
      <c r="Q57" s="43">
        <f>'Futterkurve Mast'!O$19</f>
        <v>2.0816720257234729</v>
      </c>
      <c r="R57" s="43">
        <f>D57*1/13</f>
        <v>1</v>
      </c>
      <c r="S57" s="1545">
        <f>0.13*D57</f>
        <v>1.69</v>
      </c>
      <c r="T57" s="1037">
        <v>1</v>
      </c>
      <c r="U57" s="64">
        <f>ROUND(I57/$G57,2)</f>
        <v>0.55000000000000004</v>
      </c>
      <c r="V57" s="64">
        <f>ROUND(K57/$G57,2)</f>
        <v>0.65</v>
      </c>
      <c r="W57" s="1038">
        <f>ROUND(M57/$G57,2)</f>
        <v>0.18</v>
      </c>
      <c r="X57" s="51">
        <f>ROUND(G57/D57,2)</f>
        <v>0.61</v>
      </c>
      <c r="Y57" s="51">
        <f>H57/D57</f>
        <v>0.53054662379421225</v>
      </c>
      <c r="Z57" s="51">
        <f>ROUND(O57/P57,2)</f>
        <v>1.1299999999999999</v>
      </c>
      <c r="AA57" s="51">
        <f>ROUND(O57/Q57,2)</f>
        <v>2.0299999999999998</v>
      </c>
      <c r="AB57" s="154">
        <v>45</v>
      </c>
      <c r="AC57" s="159" t="s">
        <v>314</v>
      </c>
      <c r="AD57" s="40">
        <f t="shared" ref="AD57:AE59" si="36">I57*0.525</f>
        <v>2.3023576752225714</v>
      </c>
      <c r="AE57" s="714">
        <f t="shared" si="36"/>
        <v>1.9915393890675246</v>
      </c>
      <c r="AF57" s="714">
        <f>G57*100/E57</f>
        <v>5.9063207958250992</v>
      </c>
      <c r="AH57" s="724"/>
      <c r="AK57" s="40">
        <f>18*$D57/13</f>
        <v>18</v>
      </c>
      <c r="AL57" s="40">
        <f>10*$D57/13</f>
        <v>10</v>
      </c>
      <c r="AN57" s="719">
        <v>5000</v>
      </c>
      <c r="AO57" s="719">
        <v>1000</v>
      </c>
      <c r="AP57" s="719">
        <v>50</v>
      </c>
      <c r="AS57" s="1354">
        <v>70</v>
      </c>
      <c r="AT57" s="1355">
        <v>120</v>
      </c>
    </row>
    <row r="58" spans="1:46">
      <c r="A58" s="13" t="str">
        <f t="shared" si="0"/>
        <v>Mittelmast ab 80 Kg LM für 850 g TZ*</v>
      </c>
      <c r="B58" s="47">
        <f>IF(G58=""," ",COUNTA($G$11:G57))</f>
        <v>22</v>
      </c>
      <c r="C58" s="1050" t="str">
        <f>IF(Futterberechnung!$B$10="","Mittelmast ab 80 Kg LM für 850 g TZ*",IF(Futterberechnung!$B$10="w","Mittelmast ab 80 Kg LM für 820 g TZ*",IF(Futterberechnung!$B$10="m","Mittelmast ab 80 Kg LM für 870 g TZ*","Mittelmast ab 80 Kg LM für 850 g TZ*")))</f>
        <v>Mittelmast ab 80 Kg LM für 850 g TZ*</v>
      </c>
      <c r="D58" s="166">
        <f>'Futterkurve Mast'!M$7</f>
        <v>13</v>
      </c>
      <c r="E58" s="1262">
        <f>IF(AND(Futterberechnung!$B$10="m",'Futterkurve Mast'!$T$6="hp"),(145*D58/13)-(145*D58/13)*0.03,IF(Futterberechnung!$B$10="m",(140*D58/13)-(140*D58/13)*0.03,IF('Futterkurve Mast'!$T$6="HP",145*D58/13,140*D58/13)))</f>
        <v>140</v>
      </c>
      <c r="F58" s="65">
        <f>ROUND(E58*0.865,0)</f>
        <v>121</v>
      </c>
      <c r="G58" s="43">
        <f>H58/0.865</f>
        <v>8.1914284226422946</v>
      </c>
      <c r="H58" s="40">
        <f>IF(Futterberechnung!B$10=" ",'Futterkurve Mast'!O$33,IF(Futterberechnung!B$10="W",'Futterkurve Mast'!O$71,IF(Futterberechnung!B$10="M",'Futterkurve Mast'!O$107,'Futterkurve Mast'!O$33)))</f>
        <v>7.0855855855855854</v>
      </c>
      <c r="I58" s="43">
        <f t="shared" si="33"/>
        <v>4.5052856324532629</v>
      </c>
      <c r="J58" s="43">
        <f t="shared" si="33"/>
        <v>3.8970720720720724</v>
      </c>
      <c r="K58" s="43">
        <f t="shared" si="34"/>
        <v>5.3244284747174921</v>
      </c>
      <c r="L58" s="40">
        <f t="shared" si="34"/>
        <v>4.6056306306306309</v>
      </c>
      <c r="M58" s="43">
        <f t="shared" si="35"/>
        <v>1.474457116075613</v>
      </c>
      <c r="N58" s="43">
        <f t="shared" si="35"/>
        <v>1.2754054054054054</v>
      </c>
      <c r="O58" s="43">
        <f t="shared" ref="O58:O59" si="37">Q58*2.03</f>
        <v>4.3785210210210206</v>
      </c>
      <c r="P58" s="43">
        <f t="shared" ref="P58:P59" si="38">O58/1.13</f>
        <v>3.8747973637354169</v>
      </c>
      <c r="Q58" s="43">
        <f>'Futterkurve Mast'!O$32</f>
        <v>2.1569069069069071</v>
      </c>
      <c r="R58" s="43">
        <f>D58*1/13</f>
        <v>1</v>
      </c>
      <c r="S58" s="1545">
        <f>0.13*D58</f>
        <v>1.69</v>
      </c>
      <c r="T58" s="1037">
        <v>1</v>
      </c>
      <c r="U58" s="64">
        <f>ROUND(I58/$G58,2)</f>
        <v>0.55000000000000004</v>
      </c>
      <c r="V58" s="64">
        <f>ROUND(K58/$G58,2)</f>
        <v>0.65</v>
      </c>
      <c r="W58" s="1038">
        <f>ROUND(M58/$G58,2)</f>
        <v>0.18</v>
      </c>
      <c r="X58" s="64">
        <f>ROUND(G58/D58,2)</f>
        <v>0.63</v>
      </c>
      <c r="Y58" s="64">
        <f>H58/D58</f>
        <v>0.54504504504504503</v>
      </c>
      <c r="Z58" s="64">
        <f>ROUND(O58/P58,2)</f>
        <v>1.1299999999999999</v>
      </c>
      <c r="AA58" s="64">
        <f>ROUND(O58/Q58,2)</f>
        <v>2.0299999999999998</v>
      </c>
      <c r="AB58" s="154">
        <v>45</v>
      </c>
      <c r="AC58" s="159" t="s">
        <v>314</v>
      </c>
      <c r="AD58" s="40">
        <f t="shared" si="36"/>
        <v>2.365274957037963</v>
      </c>
      <c r="AE58" s="714">
        <f t="shared" si="36"/>
        <v>2.0459628378378381</v>
      </c>
      <c r="AF58" s="714">
        <f>G58*100/E58</f>
        <v>5.8510203018873534</v>
      </c>
      <c r="AH58" s="724"/>
      <c r="AK58" s="40">
        <f>18*$D58/13</f>
        <v>18</v>
      </c>
      <c r="AL58" s="40">
        <f>10*$D58/13</f>
        <v>10</v>
      </c>
      <c r="AN58" s="719">
        <v>5000</v>
      </c>
      <c r="AO58" s="719">
        <v>1000</v>
      </c>
      <c r="AP58" s="719">
        <v>50</v>
      </c>
      <c r="AS58" s="1354">
        <v>70</v>
      </c>
      <c r="AT58" s="1355">
        <v>120</v>
      </c>
    </row>
    <row r="59" spans="1:46">
      <c r="A59" s="13" t="str">
        <f t="shared" si="0"/>
        <v>Mittelmast ab 80 Kg LM für 950 g TZ*</v>
      </c>
      <c r="B59" s="47">
        <f>IF(G59=""," ",COUNTA($G$11:G58))</f>
        <v>23</v>
      </c>
      <c r="C59" s="1347" t="str">
        <f>IF(Futterberechnung!$B$10="","Mittelmast ab 80 Kg LM für 950 g TZ*",IF(Futterberechnung!$B$10="w","Mittelmast ab 80 Kg LM für 920 g TZ*",IF(Futterberechnung!$B$10="m","Mittelmast ab 80 Kg LM für 970 g TZ*","Mittelmast ab 80 Kg LM für 950 g TZ*")))</f>
        <v>Mittelmast ab 80 Kg LM für 950 g TZ*</v>
      </c>
      <c r="D59" s="165">
        <f>'Futterkurve Mast'!M$7</f>
        <v>13</v>
      </c>
      <c r="E59" s="1263">
        <f>IF(AND(Futterberechnung!$B$10="m",'Futterkurve Mast'!$T$6="hp"),(150*D59/13)-(150*D59/13)*0.03,IF(Futterberechnung!$B$10="m",(145*D59/13)-(145*D59/13)*0.03,IF('Futterkurve Mast'!$T$6="HP",150*D59/13,145*D59/13)))</f>
        <v>145</v>
      </c>
      <c r="F59" s="68">
        <f>ROUND(E59*0.865,0)</f>
        <v>125</v>
      </c>
      <c r="G59" s="44">
        <f>H59/0.865</f>
        <v>8.4009872052997334</v>
      </c>
      <c r="H59" s="44">
        <f>IF(Futterberechnung!B$10=" ",'Futterkurve Mast'!O$46,IF(Futterberechnung!B$10="W",'Futterkurve Mast'!O$82,IF(Futterberechnung!B$10="M",'Futterkurve Mast'!O$118,'Futterkurve Mast'!O$46)))</f>
        <v>7.2668539325842687</v>
      </c>
      <c r="I59" s="44">
        <f t="shared" si="33"/>
        <v>4.620542962914854</v>
      </c>
      <c r="J59" s="44">
        <f t="shared" si="33"/>
        <v>3.9967696629213481</v>
      </c>
      <c r="K59" s="44">
        <f t="shared" si="34"/>
        <v>5.4606416834448268</v>
      </c>
      <c r="L59" s="44">
        <f t="shared" si="34"/>
        <v>4.723455056179775</v>
      </c>
      <c r="M59" s="44">
        <f t="shared" si="35"/>
        <v>1.512177696953952</v>
      </c>
      <c r="N59" s="44">
        <f t="shared" si="35"/>
        <v>1.3080337078651683</v>
      </c>
      <c r="O59" s="44">
        <f t="shared" si="37"/>
        <v>4.4996432584269659</v>
      </c>
      <c r="P59" s="44">
        <f t="shared" si="38"/>
        <v>3.9819851844486429</v>
      </c>
      <c r="Q59" s="44">
        <f>'Futterkurve Mast'!O$45</f>
        <v>2.2165730337078653</v>
      </c>
      <c r="R59" s="44">
        <f>D59*1/13</f>
        <v>1</v>
      </c>
      <c r="S59" s="1544">
        <f>0.13*D59</f>
        <v>1.69</v>
      </c>
      <c r="T59" s="1281">
        <v>1</v>
      </c>
      <c r="U59" s="69">
        <f>ROUND(I59/$G59,2)</f>
        <v>0.55000000000000004</v>
      </c>
      <c r="V59" s="69">
        <f>ROUND(K59/$G59,2)</f>
        <v>0.65</v>
      </c>
      <c r="W59" s="1041">
        <f>ROUND(M59/$G59,2)</f>
        <v>0.18</v>
      </c>
      <c r="X59" s="69">
        <f>ROUND(G59/D59,2)</f>
        <v>0.65</v>
      </c>
      <c r="Y59" s="69">
        <f>H59/D59</f>
        <v>0.5589887640449438</v>
      </c>
      <c r="Z59" s="69">
        <f>ROUND(O59/P59,2)</f>
        <v>1.1299999999999999</v>
      </c>
      <c r="AA59" s="69">
        <f>ROUND(O59/Q59,2)</f>
        <v>2.0299999999999998</v>
      </c>
      <c r="AB59" s="156">
        <v>45</v>
      </c>
      <c r="AC59" s="160" t="s">
        <v>314</v>
      </c>
      <c r="AD59" s="44">
        <f t="shared" si="36"/>
        <v>2.4257850555302984</v>
      </c>
      <c r="AE59" s="728">
        <f t="shared" si="36"/>
        <v>2.0983040730337077</v>
      </c>
      <c r="AF59" s="728">
        <f>G59*100/E59</f>
        <v>5.7937842795170571</v>
      </c>
      <c r="AH59" s="724"/>
      <c r="AK59" s="40">
        <f>18*$D59/13</f>
        <v>18</v>
      </c>
      <c r="AL59" s="40">
        <f>10*$D59/13</f>
        <v>10</v>
      </c>
      <c r="AN59" s="719">
        <v>5000</v>
      </c>
      <c r="AO59" s="719">
        <v>1000</v>
      </c>
      <c r="AP59" s="719">
        <v>50</v>
      </c>
      <c r="AS59" s="1354">
        <v>70</v>
      </c>
      <c r="AT59" s="1355">
        <v>120</v>
      </c>
    </row>
    <row r="60" spans="1:46" ht="7.5" customHeight="1">
      <c r="A60" s="13" t="str">
        <f t="shared" si="0"/>
        <v/>
      </c>
      <c r="B60" s="47" t="str">
        <f>IF(G60=""," ",COUNTA($G$11:G59))</f>
        <v xml:space="preserve"> </v>
      </c>
      <c r="E60" s="1261"/>
      <c r="F60" s="65"/>
      <c r="G60" s="40"/>
      <c r="H60" s="40"/>
      <c r="I60" s="43"/>
      <c r="J60" s="40"/>
      <c r="K60" s="40"/>
      <c r="L60" s="40"/>
      <c r="M60" s="40"/>
      <c r="N60" s="40"/>
      <c r="O60" s="40"/>
      <c r="P60" s="40"/>
      <c r="Q60" s="40"/>
      <c r="R60" s="43"/>
      <c r="S60" s="43"/>
      <c r="T60" s="1348"/>
      <c r="U60" s="1350"/>
      <c r="V60" s="1350"/>
      <c r="W60" s="1351"/>
      <c r="X60" s="51"/>
      <c r="Y60" s="51"/>
      <c r="Z60" s="51"/>
      <c r="AA60" s="51"/>
      <c r="AD60" s="40"/>
      <c r="AE60" s="714"/>
      <c r="AF60" s="714"/>
      <c r="AH60" s="724"/>
      <c r="AS60" s="24"/>
      <c r="AT60" s="24"/>
    </row>
    <row r="61" spans="1:46">
      <c r="A61" s="13" t="str">
        <f>IF(C61="","",C61)</f>
        <v>Endmast 90 - 120 kg LM</v>
      </c>
      <c r="B61" s="47" t="str">
        <f>IF(G61=""," ",COUNTA($G$11:G60))</f>
        <v xml:space="preserve"> </v>
      </c>
      <c r="C61" s="528" t="s">
        <v>825</v>
      </c>
      <c r="D61" s="46" t="s">
        <v>94</v>
      </c>
      <c r="E61" s="1261"/>
      <c r="F61" s="65"/>
      <c r="G61" s="40"/>
      <c r="H61" s="40"/>
      <c r="I61" s="43"/>
      <c r="J61" s="40"/>
      <c r="K61" s="40"/>
      <c r="L61" s="40"/>
      <c r="M61" s="40"/>
      <c r="N61" s="40"/>
      <c r="O61" s="40"/>
      <c r="P61" s="40"/>
      <c r="Q61" s="40"/>
      <c r="R61" s="43"/>
      <c r="S61" s="43"/>
      <c r="T61" s="1037"/>
      <c r="U61" s="64"/>
      <c r="V61" s="64"/>
      <c r="W61" s="1038"/>
      <c r="X61" s="51"/>
      <c r="Y61" s="51"/>
      <c r="Z61" s="51"/>
      <c r="AA61" s="51"/>
      <c r="AD61" s="40"/>
      <c r="AE61" s="714"/>
      <c r="AF61" s="714"/>
      <c r="AH61" s="724"/>
      <c r="AS61" s="24"/>
      <c r="AT61" s="24"/>
    </row>
    <row r="62" spans="1:46">
      <c r="A62" s="13" t="str">
        <f>IF(C62="","",C62)</f>
        <v>ab 90 kg LM</v>
      </c>
      <c r="B62" s="47" t="str">
        <f>IF(G62=""," ",COUNTA($G$11:G41))</f>
        <v xml:space="preserve"> </v>
      </c>
      <c r="C62" s="532" t="s">
        <v>826</v>
      </c>
      <c r="D62" s="46"/>
      <c r="E62" s="1261"/>
      <c r="F62" s="65"/>
      <c r="G62" s="40"/>
      <c r="H62" s="40"/>
      <c r="I62" s="43"/>
      <c r="J62" s="40"/>
      <c r="K62" s="40"/>
      <c r="L62" s="40"/>
      <c r="M62" s="40"/>
      <c r="N62" s="40"/>
      <c r="O62" s="40"/>
      <c r="P62" s="40"/>
      <c r="Q62" s="40"/>
      <c r="R62" s="43"/>
      <c r="S62" s="43"/>
      <c r="T62" s="1037"/>
      <c r="U62" s="64"/>
      <c r="V62" s="64"/>
      <c r="W62" s="1038"/>
      <c r="X62" s="51"/>
      <c r="Y62" s="51"/>
      <c r="Z62" s="51"/>
      <c r="AA62" s="51"/>
      <c r="AD62" s="40"/>
      <c r="AE62" s="714"/>
      <c r="AF62" s="714"/>
      <c r="AH62" s="724"/>
      <c r="AS62" s="24"/>
      <c r="AT62" s="24"/>
    </row>
    <row r="63" spans="1:46">
      <c r="A63" s="13" t="str">
        <f>IF(C63="","",C63)</f>
        <v>Endmast ab 90 Kg LM für 750 g TZ*</v>
      </c>
      <c r="B63" s="47">
        <f>IF(G63=""," ",COUNTA($G$11:G62))</f>
        <v>24</v>
      </c>
      <c r="C63" s="1050" t="str">
        <f>IF(Futterberechnung!$B$10="","Endmast ab 90 Kg LM für 750 g TZ*",IF(Futterberechnung!$B$10="w","Endmast ab 90 Kg LM für 720 g TZ*",IF(Futterberechnung!$B$10="m","Endmast ab 90 Kg LM für 770 g TZ*","Endmast ab 90 Kg LM für 750 g TZ*")))</f>
        <v>Endmast ab 90 Kg LM für 750 g TZ*</v>
      </c>
      <c r="D63" s="166">
        <f>'Futterkurve Mast'!Q$7</f>
        <v>13</v>
      </c>
      <c r="E63" s="1262">
        <f>IF(AND(Futterberechnung!$B$10="m",'Futterkurve Mast'!$T$6="hp"),(140*D63/13)-(140*D63/13)*0.03,IF(Futterberechnung!$B$10="m",(135*D63/13)-(135*D63/13)*0.03,IF('Futterkurve Mast'!$T$6="HP",140*D63/13,135*D63/13)))</f>
        <v>135</v>
      </c>
      <c r="F63" s="65">
        <f>ROUND(E63*0.86,0)</f>
        <v>116</v>
      </c>
      <c r="G63" s="43">
        <f>H63/0.86</f>
        <v>7.8501050496268938</v>
      </c>
      <c r="H63" s="40">
        <f>IF(Futterberechnung!B$10=" ",'Futterkurve Mast'!Q$20,IF(Futterberechnung!B$10="W",'Futterkurve Mast'!Q$60,IF(Futterberechnung!B$10="M",'Futterkurve Mast'!Q$96,'Futterkurve Mast'!Q$20)))</f>
        <v>6.7510903426791282</v>
      </c>
      <c r="I63" s="43">
        <f t="shared" ref="I63:J65" si="39">G63*0.55</f>
        <v>4.317557777294792</v>
      </c>
      <c r="J63" s="43">
        <f t="shared" si="39"/>
        <v>3.713099688473521</v>
      </c>
      <c r="K63" s="40">
        <f t="shared" ref="K63:L65" si="40">G63*0.65</f>
        <v>5.1025682822574812</v>
      </c>
      <c r="L63" s="40">
        <f t="shared" si="40"/>
        <v>4.3882087227414335</v>
      </c>
      <c r="M63" s="40">
        <f t="shared" ref="M63:N65" si="41">G63*0.18</f>
        <v>1.4130189089328409</v>
      </c>
      <c r="N63" s="40">
        <f t="shared" si="41"/>
        <v>1.2151962616822429</v>
      </c>
      <c r="O63" s="43">
        <f>Q63*2.15</f>
        <v>4.2012071651090341</v>
      </c>
      <c r="P63" s="43">
        <f>O63/1.125</f>
        <v>3.734406368985808</v>
      </c>
      <c r="Q63" s="40">
        <f>'Futterkurve Mast'!Q$19</f>
        <v>1.9540498442367602</v>
      </c>
      <c r="R63" s="43">
        <f>D63*1/13</f>
        <v>1</v>
      </c>
      <c r="S63" s="43">
        <f>0.12*D63</f>
        <v>1.56</v>
      </c>
      <c r="T63" s="1037">
        <v>1</v>
      </c>
      <c r="U63" s="64">
        <f>ROUND(I63/$G63,2)</f>
        <v>0.55000000000000004</v>
      </c>
      <c r="V63" s="64">
        <f>ROUND(K63/$G63,2)</f>
        <v>0.65</v>
      </c>
      <c r="W63" s="1038">
        <f>ROUND(M63/$G63,2)</f>
        <v>0.18</v>
      </c>
      <c r="X63" s="51">
        <f>ROUND(G63/D63,2)</f>
        <v>0.6</v>
      </c>
      <c r="Y63" s="51">
        <f>H63/D63</f>
        <v>0.51931464174454833</v>
      </c>
      <c r="Z63" s="51">
        <f>ROUND(O63/P63,2)</f>
        <v>1.1299999999999999</v>
      </c>
      <c r="AA63" s="51">
        <f>ROUND(O63/Q63,2)</f>
        <v>2.15</v>
      </c>
      <c r="AB63" s="154">
        <v>45</v>
      </c>
      <c r="AC63" s="159" t="s">
        <v>314</v>
      </c>
      <c r="AD63" s="40">
        <f t="shared" ref="AD63:AE65" si="42">I63*0.525</f>
        <v>2.2667178330797659</v>
      </c>
      <c r="AE63" s="714">
        <f t="shared" si="42"/>
        <v>1.9493773364485987</v>
      </c>
      <c r="AF63" s="714">
        <f>G63*100/E63</f>
        <v>5.8148926293532552</v>
      </c>
      <c r="AH63" s="724"/>
      <c r="AK63" s="40">
        <f>18*$D63/13</f>
        <v>18</v>
      </c>
      <c r="AL63" s="40">
        <f>10*$D63/13</f>
        <v>10</v>
      </c>
      <c r="AN63" s="719">
        <v>5000</v>
      </c>
      <c r="AO63" s="719">
        <v>1000</v>
      </c>
      <c r="AP63" s="719">
        <v>50</v>
      </c>
      <c r="AS63" s="1354">
        <v>70</v>
      </c>
      <c r="AT63" s="1355">
        <v>120</v>
      </c>
    </row>
    <row r="64" spans="1:46">
      <c r="A64" s="13" t="str">
        <f>IF(C64="","",C64)</f>
        <v>Endmast ab 90 Kg LM für 850 g TZ*</v>
      </c>
      <c r="B64" s="47">
        <f>IF(G64=""," ",COUNTA($G$11:G63))</f>
        <v>25</v>
      </c>
      <c r="C64" s="1050" t="str">
        <f>IF(Futterberechnung!$B$10="","Endmast ab 90 Kg LM für 850 g TZ*",IF(Futterberechnung!$B$10="w","Endmast ab 90 Kg LM für 820 g TZ*",IF(Futterberechnung!$B$10="m","Endmast ab 90 Kg LM für 870 g TZ*","Endmast ab 90 Kg LM für 850 g TZ*")))</f>
        <v>Endmast ab 90 Kg LM für 850 g TZ*</v>
      </c>
      <c r="D64" s="166">
        <f>'Futterkurve Mast'!Q$7</f>
        <v>13</v>
      </c>
      <c r="E64" s="1262">
        <f>IF(AND(Futterberechnung!$B$10="m",'Futterkurve Mast'!$T$6="hp"),(145*D64/13)-(145*D64/13)*0.03,IF(Futterberechnung!$B$10="m",(140*D64/13)-(140*D64/13)*0.03,IF('Futterkurve Mast'!$T$6="HP",145*D64/13,140*D64/13)))</f>
        <v>140</v>
      </c>
      <c r="F64" s="65">
        <f>ROUND(E64*0.86,0)</f>
        <v>120</v>
      </c>
      <c r="G64" s="43">
        <f>H64/0.86</f>
        <v>7.9743849005729697</v>
      </c>
      <c r="H64" s="40">
        <f>IF(Futterberechnung!B$10=" ",'Futterkurve Mast'!Q$33,IF(Futterberechnung!B$10="W",'Futterkurve Mast'!Q$71,IF(Futterberechnung!B$10="m",'Futterkurve Mast'!Q$107,'Futterkurve Mast'!Q$33)))</f>
        <v>6.8579710144927537</v>
      </c>
      <c r="I64" s="43">
        <f t="shared" si="39"/>
        <v>4.3859116953151336</v>
      </c>
      <c r="J64" s="43">
        <f t="shared" si="39"/>
        <v>3.7718840579710147</v>
      </c>
      <c r="K64" s="43">
        <f t="shared" si="40"/>
        <v>5.1833501853724302</v>
      </c>
      <c r="L64" s="40">
        <f t="shared" si="40"/>
        <v>4.4576811594202903</v>
      </c>
      <c r="M64" s="43">
        <f t="shared" si="41"/>
        <v>1.4353892821031344</v>
      </c>
      <c r="N64" s="43">
        <f t="shared" si="41"/>
        <v>1.2344347826086957</v>
      </c>
      <c r="O64" s="43">
        <f t="shared" ref="O64:O65" si="43">Q64*2.15</f>
        <v>4.3747826086956527</v>
      </c>
      <c r="P64" s="43">
        <f t="shared" ref="P64:P65" si="44">O64/1.125</f>
        <v>3.8886956521739133</v>
      </c>
      <c r="Q64" s="43">
        <f>'Futterkurve Mast'!Q$32</f>
        <v>2.0347826086956524</v>
      </c>
      <c r="R64" s="43">
        <f>D64*1/13</f>
        <v>1</v>
      </c>
      <c r="S64" s="43">
        <f>0.12*D64</f>
        <v>1.56</v>
      </c>
      <c r="T64" s="1037">
        <v>1</v>
      </c>
      <c r="U64" s="64">
        <f>ROUND(I64/$G64,2)</f>
        <v>0.55000000000000004</v>
      </c>
      <c r="V64" s="64">
        <f>ROUND(K64/$G64,2)</f>
        <v>0.65</v>
      </c>
      <c r="W64" s="1038">
        <f>ROUND(M64/$G64,2)</f>
        <v>0.18</v>
      </c>
      <c r="X64" s="64">
        <f>ROUND(G64/D64,2)</f>
        <v>0.61</v>
      </c>
      <c r="Y64" s="64">
        <f>H64/D64</f>
        <v>0.52753623188405796</v>
      </c>
      <c r="Z64" s="64">
        <f>ROUND(O64/P64,2)</f>
        <v>1.1299999999999999</v>
      </c>
      <c r="AA64" s="64">
        <f>ROUND(O64/Q64,2)</f>
        <v>2.15</v>
      </c>
      <c r="AB64" s="154">
        <v>45</v>
      </c>
      <c r="AC64" s="159" t="s">
        <v>314</v>
      </c>
      <c r="AD64" s="40">
        <f t="shared" si="42"/>
        <v>2.302603640040445</v>
      </c>
      <c r="AE64" s="714">
        <f t="shared" si="42"/>
        <v>1.9802391304347828</v>
      </c>
      <c r="AF64" s="714">
        <f>G64*100/E64</f>
        <v>5.6959892146949782</v>
      </c>
      <c r="AH64" s="724"/>
      <c r="AK64" s="40">
        <f>18*$D64/13</f>
        <v>18</v>
      </c>
      <c r="AL64" s="40">
        <f>10*$D64/13</f>
        <v>10</v>
      </c>
      <c r="AN64" s="719">
        <v>5000</v>
      </c>
      <c r="AO64" s="719">
        <v>1000</v>
      </c>
      <c r="AP64" s="719">
        <v>50</v>
      </c>
      <c r="AS64" s="1354">
        <v>70</v>
      </c>
      <c r="AT64" s="1355">
        <v>120</v>
      </c>
    </row>
    <row r="65" spans="1:46">
      <c r="A65" s="13" t="str">
        <f>IF(C65="","",C65)</f>
        <v>Endmast ab 90 Kg LM für 950 g TZ*</v>
      </c>
      <c r="B65" s="47">
        <f>IF(G65=""," ",COUNTA($G$11:G64))</f>
        <v>26</v>
      </c>
      <c r="C65" s="1050" t="str">
        <f>IF(Futterberechnung!$B$10="","Endmast ab 90 Kg LM für 950 g TZ*",IF(Futterberechnung!$B$10="w","Endmast ab 90 Kg LM für 920 g TZ*",IF(Futterberechnung!$B$10="m","Endmast ab 90 Kg LM für 970 g TZ*","Endmast ab 90 Kg LM für 950 g TZ*")))</f>
        <v>Endmast ab 90 Kg LM für 950 g TZ*</v>
      </c>
      <c r="D65" s="166">
        <f>'Futterkurve Mast'!Q$7</f>
        <v>13</v>
      </c>
      <c r="E65" s="1264">
        <f>IF(AND(Futterberechnung!$B$10="m",'Futterkurve Mast'!$T$6="hp"),(150*D65/13)-(150*D65/13)*0.03,IF(Futterberechnung!$B$10="m",(145*D65/13)-(145*D65/13)*0.03,IF('Futterkurve Mast'!$T$6="HP",150*D65/13,145*D65/13)))</f>
        <v>145</v>
      </c>
      <c r="F65" s="65">
        <f>ROUND(E65*0.86,0)</f>
        <v>125</v>
      </c>
      <c r="G65" s="43">
        <f>H65/0.86</f>
        <v>8.2135879498329878</v>
      </c>
      <c r="H65" s="43">
        <f>IF(Futterberechnung!B$10=" ",'Futterkurve Mast'!Q$46,IF(Futterberechnung!B$10="W",'Futterkurve Mast'!Q$82,IF(Futterberechnung!B$10="M",'Futterkurve Mast'!Q$118,'Futterkurve Mast'!Q$46)))</f>
        <v>7.0636856368563699</v>
      </c>
      <c r="I65" s="43">
        <f t="shared" si="39"/>
        <v>4.5174733724081433</v>
      </c>
      <c r="J65" s="43">
        <f t="shared" si="39"/>
        <v>3.885027100271004</v>
      </c>
      <c r="K65" s="43">
        <f t="shared" si="40"/>
        <v>5.3388321673914421</v>
      </c>
      <c r="L65" s="43">
        <f t="shared" si="40"/>
        <v>4.5913956639566402</v>
      </c>
      <c r="M65" s="43">
        <f t="shared" si="41"/>
        <v>1.4784458309699378</v>
      </c>
      <c r="N65" s="43">
        <f t="shared" si="41"/>
        <v>1.2714634146341466</v>
      </c>
      <c r="O65" s="43">
        <f t="shared" si="43"/>
        <v>4.4879065040650401</v>
      </c>
      <c r="P65" s="43">
        <f t="shared" si="44"/>
        <v>3.9892502258355913</v>
      </c>
      <c r="Q65" s="43">
        <f>'Futterkurve Mast'!Q$45</f>
        <v>2.0873983739837398</v>
      </c>
      <c r="R65" s="43">
        <f>D65*1/13</f>
        <v>1</v>
      </c>
      <c r="S65" s="43">
        <f>0.12*D65</f>
        <v>1.56</v>
      </c>
      <c r="T65" s="1037">
        <v>1</v>
      </c>
      <c r="U65" s="64">
        <f>ROUND(I65/$G65,2)</f>
        <v>0.55000000000000004</v>
      </c>
      <c r="V65" s="64">
        <f>ROUND(K65/$G65,2)</f>
        <v>0.65</v>
      </c>
      <c r="W65" s="1038">
        <f>ROUND(M65/$G65,2)</f>
        <v>0.18</v>
      </c>
      <c r="X65" s="64">
        <f>ROUND(G65/D65,2)</f>
        <v>0.63</v>
      </c>
      <c r="Y65" s="64">
        <f>H65/D65</f>
        <v>0.54336043360433617</v>
      </c>
      <c r="Z65" s="64">
        <f>ROUND(O65/P65,2)</f>
        <v>1.1299999999999999</v>
      </c>
      <c r="AA65" s="64">
        <f>ROUND(O65/Q65,2)</f>
        <v>2.15</v>
      </c>
      <c r="AB65" s="154">
        <v>45</v>
      </c>
      <c r="AC65" s="159" t="s">
        <v>314</v>
      </c>
      <c r="AD65" s="43">
        <f t="shared" si="42"/>
        <v>2.3716735205142752</v>
      </c>
      <c r="AE65" s="726">
        <f t="shared" si="42"/>
        <v>2.0396392276422772</v>
      </c>
      <c r="AF65" s="726">
        <f>G65*100/E65</f>
        <v>5.6645434136779231</v>
      </c>
      <c r="AH65" s="724"/>
      <c r="AK65" s="40">
        <f>18*$D65/13</f>
        <v>18</v>
      </c>
      <c r="AL65" s="40">
        <f>10*$D65/13</f>
        <v>10</v>
      </c>
      <c r="AN65" s="719">
        <v>5000</v>
      </c>
      <c r="AO65" s="719">
        <v>1000</v>
      </c>
      <c r="AP65" s="719">
        <v>50</v>
      </c>
      <c r="AS65" s="1354">
        <v>70</v>
      </c>
      <c r="AT65" s="1355">
        <v>120</v>
      </c>
    </row>
    <row r="66" spans="1:46" ht="7.5" customHeight="1">
      <c r="B66" s="47"/>
      <c r="C66" s="34"/>
      <c r="D66" s="43"/>
      <c r="E66" s="43"/>
      <c r="F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1037"/>
      <c r="U66" s="64"/>
      <c r="V66" s="64"/>
      <c r="W66" s="1038"/>
      <c r="X66" s="64"/>
      <c r="Y66" s="64"/>
      <c r="Z66" s="64"/>
      <c r="AA66" s="64"/>
      <c r="AB66" s="64"/>
      <c r="AC66" s="159"/>
      <c r="AD66" s="43"/>
      <c r="AE66" s="726"/>
      <c r="AF66" s="726"/>
      <c r="AH66" s="724"/>
      <c r="AS66" s="24"/>
      <c r="AT66" s="24"/>
    </row>
    <row r="67" spans="1:46">
      <c r="A67" s="13" t="str">
        <f>IF(C67="","",C67)</f>
        <v>ab 100 kg LM</v>
      </c>
      <c r="B67" s="47" t="str">
        <f>IF(G67=""," ",COUNTA($G$11:G46))</f>
        <v xml:space="preserve"> </v>
      </c>
      <c r="C67" s="532" t="s">
        <v>829</v>
      </c>
      <c r="D67" s="46"/>
      <c r="E67" s="1261"/>
      <c r="F67" s="65"/>
      <c r="G67" s="40"/>
      <c r="H67" s="40"/>
      <c r="I67" s="43"/>
      <c r="J67" s="40"/>
      <c r="K67" s="40"/>
      <c r="L67" s="40"/>
      <c r="M67" s="40"/>
      <c r="N67" s="40"/>
      <c r="O67" s="40"/>
      <c r="P67" s="40"/>
      <c r="Q67" s="40"/>
      <c r="R67" s="43"/>
      <c r="S67" s="43"/>
      <c r="T67" s="1037"/>
      <c r="U67" s="64"/>
      <c r="V67" s="64"/>
      <c r="W67" s="1038"/>
      <c r="X67" s="51"/>
      <c r="Y67" s="51"/>
      <c r="Z67" s="51"/>
      <c r="AA67" s="51"/>
      <c r="AD67" s="40"/>
      <c r="AE67" s="714"/>
      <c r="AF67" s="714"/>
      <c r="AH67" s="724"/>
      <c r="AS67" s="24"/>
      <c r="AT67" s="24"/>
    </row>
    <row r="68" spans="1:46">
      <c r="A68" s="13" t="str">
        <f>IF(C68="","",C68)</f>
        <v>Endmast ab 100 Kg LM für 750 g TZ*</v>
      </c>
      <c r="B68" s="47">
        <f>IF(G68=""," ",COUNTA($G$11:G67))</f>
        <v>27</v>
      </c>
      <c r="C68" s="1050" t="str">
        <f>IF(Futterberechnung!$B$10="","Endmast ab 100 Kg LM für 750 g TZ*",IF(Futterberechnung!$B$10="w","Endmast ab 100 Kg LM für 720 g TZ*",IF(Futterberechnung!$B$10="m","Endmast ab 100 Kg LM für 770 g TZ*","Endmast ab 100 Kg LM für 750 g TZ*")))</f>
        <v>Endmast ab 100 Kg LM für 750 g TZ*</v>
      </c>
      <c r="D68" s="166">
        <f>'Futterkurve Mast'!Q$7</f>
        <v>13</v>
      </c>
      <c r="E68" s="1262">
        <f>IF(AND(Futterberechnung!$B$10="m",'Futterkurve Mast'!$T$6="hp"),(135*D68/13)-(135*D68/13)*0.03,IF(Futterberechnung!$B$10="m",(130*D68/13)-(130*D68/13)*0.03,IF('Futterkurve Mast'!$T$6="HP",135*D68/13,130*D68/13)))</f>
        <v>130</v>
      </c>
      <c r="F68" s="65">
        <f>ROUND(E68*0.855,0)</f>
        <v>111</v>
      </c>
      <c r="G68" s="43">
        <f>H68/0.855</f>
        <v>7.6492672009241209</v>
      </c>
      <c r="H68" s="40">
        <f>IF(Futterberechnung!B$10=" ",'Futterkurve Mast'!S$20,IF(Futterberechnung!B$10="W",'Futterkurve Mast'!S$60,IF(Futterberechnung!B$10="M",'Futterkurve Mast'!S$96,'Futterkurve Mast'!S$20)))</f>
        <v>6.5401234567901234</v>
      </c>
      <c r="I68" s="43">
        <f t="shared" ref="I68:J70" si="45">G68*0.55</f>
        <v>4.2070969605082666</v>
      </c>
      <c r="J68" s="43">
        <f t="shared" si="45"/>
        <v>3.5970679012345683</v>
      </c>
      <c r="K68" s="40">
        <f t="shared" ref="K68:L70" si="46">G68*0.65</f>
        <v>4.972023680600679</v>
      </c>
      <c r="L68" s="40">
        <f t="shared" si="46"/>
        <v>4.2510802469135802</v>
      </c>
      <c r="M68" s="40">
        <f t="shared" ref="M68:N70" si="47">G68*0.18</f>
        <v>1.3768680961663418</v>
      </c>
      <c r="N68" s="40">
        <f t="shared" si="47"/>
        <v>1.1772222222222222</v>
      </c>
      <c r="O68" s="43">
        <f>Q68*2.2</f>
        <v>4.0384259259259263</v>
      </c>
      <c r="P68" s="43">
        <f>O68/1.125</f>
        <v>3.5897119341563788</v>
      </c>
      <c r="Q68" s="40">
        <f>'Futterkurve Mast'!S$19</f>
        <v>1.8356481481481481</v>
      </c>
      <c r="R68" s="43">
        <f>D68*1/13</f>
        <v>1</v>
      </c>
      <c r="S68" s="43">
        <f>0.12*D68</f>
        <v>1.56</v>
      </c>
      <c r="T68" s="1037">
        <v>1</v>
      </c>
      <c r="U68" s="64">
        <f>ROUND(I68/$G68,2)</f>
        <v>0.55000000000000004</v>
      </c>
      <c r="V68" s="64">
        <f>ROUND(K68/$G68,2)</f>
        <v>0.65</v>
      </c>
      <c r="W68" s="1038">
        <f>ROUND(M68/$G68,2)</f>
        <v>0.18</v>
      </c>
      <c r="X68" s="51">
        <f>ROUND(G68/D68,2)</f>
        <v>0.59</v>
      </c>
      <c r="Y68" s="51">
        <f>H68/D68</f>
        <v>0.50308641975308643</v>
      </c>
      <c r="Z68" s="51">
        <f>ROUND(O68/P68,2)</f>
        <v>1.1299999999999999</v>
      </c>
      <c r="AA68" s="51">
        <f>ROUND(O68/Q68,2)</f>
        <v>2.2000000000000002</v>
      </c>
      <c r="AB68" s="154">
        <v>45</v>
      </c>
      <c r="AC68" s="159" t="s">
        <v>314</v>
      </c>
      <c r="AD68" s="40">
        <f t="shared" ref="AD68:AE70" si="48">I68*0.525</f>
        <v>2.2087259042668399</v>
      </c>
      <c r="AE68" s="714">
        <f t="shared" si="48"/>
        <v>1.8884606481481485</v>
      </c>
      <c r="AF68" s="714">
        <f>G68*100/E68</f>
        <v>5.8840516930185549</v>
      </c>
      <c r="AH68" s="724"/>
      <c r="AK68" s="40">
        <f>18*$D68/13</f>
        <v>18</v>
      </c>
      <c r="AL68" s="40">
        <f>10*$D68/13</f>
        <v>10</v>
      </c>
      <c r="AN68" s="719">
        <v>5000</v>
      </c>
      <c r="AO68" s="719">
        <v>1000</v>
      </c>
      <c r="AP68" s="719">
        <v>50</v>
      </c>
      <c r="AS68" s="1354">
        <v>70</v>
      </c>
      <c r="AT68" s="1355">
        <v>120</v>
      </c>
    </row>
    <row r="69" spans="1:46">
      <c r="A69" s="13" t="str">
        <f>IF(C69="","",C69)</f>
        <v>Endmast ab 100 Kg LM für 850 g TZ*</v>
      </c>
      <c r="B69" s="47">
        <f>IF(G69=""," ",COUNTA($G$11:G68))</f>
        <v>28</v>
      </c>
      <c r="C69" s="1050" t="str">
        <f>IF(Futterberechnung!$B$10="","Endmast ab 100 Kg LM für 850 g TZ*",IF(Futterberechnung!$B$10="w","Endmast ab 100 Kg LM für 820 g TZ*",IF(Futterberechnung!$B$10="m","Endmast ab 100 Kg LM für 870 g TZ*","Endmast ab 100 Kg LM für 850 g TZ*")))</f>
        <v>Endmast ab 100 Kg LM für 850 g TZ*</v>
      </c>
      <c r="D69" s="166">
        <f>'Futterkurve Mast'!Q$7</f>
        <v>13</v>
      </c>
      <c r="E69" s="1262">
        <f>IF(AND(Futterberechnung!$B$10="m",'Futterkurve Mast'!$T$6="hp"),(140*D69/13)-(140*D69/13)*0.03,IF(Futterberechnung!$B$10="m",(135*D69/13)-(135*D69/13)*0.03,IF('Futterkurve Mast'!$T$6="HP",140*D69/13,135*D69/13)))</f>
        <v>135</v>
      </c>
      <c r="F69" s="65">
        <f>ROUND(E69*0.855,0)</f>
        <v>115</v>
      </c>
      <c r="G69" s="43">
        <f>H69/0.855</f>
        <v>8.0367585630743523</v>
      </c>
      <c r="H69" s="40">
        <f>IF(Futterberechnung!B$10=" ",'Futterkurve Mast'!S$33,IF(Futterberechnung!B$10="W",'Futterkurve Mast'!S$71,IF(Futterberechnung!B$10="m",'Futterkurve Mast'!S$107,'Futterkurve Mast'!S$33)))</f>
        <v>6.871428571428571</v>
      </c>
      <c r="I69" s="43">
        <f t="shared" si="45"/>
        <v>4.420217209690894</v>
      </c>
      <c r="J69" s="43">
        <f t="shared" si="45"/>
        <v>3.7792857142857144</v>
      </c>
      <c r="K69" s="43">
        <f t="shared" si="46"/>
        <v>5.2238930659983289</v>
      </c>
      <c r="L69" s="40">
        <f t="shared" si="46"/>
        <v>4.4664285714285716</v>
      </c>
      <c r="M69" s="43">
        <f t="shared" si="47"/>
        <v>1.4466165413533834</v>
      </c>
      <c r="N69" s="43">
        <f t="shared" si="47"/>
        <v>1.2368571428571427</v>
      </c>
      <c r="O69" s="43">
        <f t="shared" ref="O69:O70" si="49">Q69*2.2</f>
        <v>4.1674285714285713</v>
      </c>
      <c r="P69" s="43">
        <f t="shared" ref="P69:P70" si="50">O69/1.125</f>
        <v>3.7043809523809523</v>
      </c>
      <c r="Q69" s="43">
        <f>'Futterkurve Mast'!S$32</f>
        <v>1.8942857142857139</v>
      </c>
      <c r="R69" s="43">
        <f>D69*1/13</f>
        <v>1</v>
      </c>
      <c r="S69" s="43">
        <f>0.12*D69</f>
        <v>1.56</v>
      </c>
      <c r="T69" s="1037">
        <v>1</v>
      </c>
      <c r="U69" s="64">
        <f>ROUND(I69/$G69,2)</f>
        <v>0.55000000000000004</v>
      </c>
      <c r="V69" s="64">
        <f>ROUND(K69/$G69,2)</f>
        <v>0.65</v>
      </c>
      <c r="W69" s="1038">
        <f>ROUND(M69/$G69,2)</f>
        <v>0.18</v>
      </c>
      <c r="X69" s="64">
        <f>ROUND(G69/D69,2)</f>
        <v>0.62</v>
      </c>
      <c r="Y69" s="64">
        <f>H69/D69</f>
        <v>0.52857142857142858</v>
      </c>
      <c r="Z69" s="64">
        <f>ROUND(O69/P69,2)</f>
        <v>1.1299999999999999</v>
      </c>
      <c r="AA69" s="64">
        <f>ROUND(O69/Q69,2)</f>
        <v>2.2000000000000002</v>
      </c>
      <c r="AB69" s="154">
        <v>45</v>
      </c>
      <c r="AC69" s="159" t="s">
        <v>314</v>
      </c>
      <c r="AD69" s="40">
        <f t="shared" si="48"/>
        <v>2.3206140350877194</v>
      </c>
      <c r="AE69" s="714">
        <f t="shared" si="48"/>
        <v>1.9841250000000001</v>
      </c>
      <c r="AF69" s="714">
        <f>G69*100/E69</f>
        <v>5.9531544911661864</v>
      </c>
      <c r="AH69" s="724"/>
      <c r="AK69" s="40">
        <f>18*$D69/13</f>
        <v>18</v>
      </c>
      <c r="AL69" s="40">
        <f>10*$D69/13</f>
        <v>10</v>
      </c>
      <c r="AN69" s="719">
        <v>5000</v>
      </c>
      <c r="AO69" s="719">
        <v>1000</v>
      </c>
      <c r="AP69" s="719">
        <v>50</v>
      </c>
      <c r="AS69" s="1354">
        <v>70</v>
      </c>
      <c r="AT69" s="1355">
        <v>120</v>
      </c>
    </row>
    <row r="70" spans="1:46">
      <c r="A70" s="13" t="str">
        <f>IF(C70="","",C70)</f>
        <v>Endmast ab 100 Kg LM für 950 g TZ*</v>
      </c>
      <c r="B70" s="47">
        <f>IF(G70=""," ",COUNTA($G$11:G69))</f>
        <v>29</v>
      </c>
      <c r="C70" s="1050" t="str">
        <f>IF(Futterberechnung!$B$10="","Endmast ab 100 Kg LM für 950 g TZ*",IF(Futterberechnung!$B$10="w","Endmast ab 100 Kg LM für 920 g TZ*",IF(Futterberechnung!$B$10="m","Endmast ab 100 Kg LM für 970 g TZ*","Endmast ab 100 Kg LM für 950 g TZ*")))</f>
        <v>Endmast ab 100 Kg LM für 950 g TZ*</v>
      </c>
      <c r="D70" s="166">
        <f>'Futterkurve Mast'!Q$7</f>
        <v>13</v>
      </c>
      <c r="E70" s="1264">
        <f>IF(AND(Futterberechnung!$B$10="m",'Futterkurve Mast'!$T$6="hp"),(145*D70/13)-(145*D70/13)*0.03,IF(Futterberechnung!$B$10="m",(140*D70/13)-(140*D70/13)*0.03,IF('Futterkurve Mast'!$T$6="HP",145*D70/13,140*D70/13)))</f>
        <v>140</v>
      </c>
      <c r="F70" s="65">
        <f>ROUND(E70*0.855,0)</f>
        <v>120</v>
      </c>
      <c r="G70" s="43">
        <f>H70/0.855</f>
        <v>8.2934609250398719</v>
      </c>
      <c r="H70" s="43">
        <f>IF(Futterberechnung!B$10=" ",'Futterkurve Mast'!S$46,IF(Futterberechnung!B$10="W",'Futterkurve Mast'!S$82,IF(Futterberechnung!B$10="M",'Futterkurve Mast'!S$118,'Futterkurve Mast'!S$46)))</f>
        <v>7.0909090909090908</v>
      </c>
      <c r="I70" s="43">
        <f t="shared" si="45"/>
        <v>4.5614035087719298</v>
      </c>
      <c r="J70" s="43">
        <f t="shared" si="45"/>
        <v>3.9000000000000004</v>
      </c>
      <c r="K70" s="43">
        <f t="shared" si="46"/>
        <v>5.3907496012759166</v>
      </c>
      <c r="L70" s="43">
        <f t="shared" si="46"/>
        <v>4.6090909090909093</v>
      </c>
      <c r="M70" s="43">
        <f t="shared" si="47"/>
        <v>1.4928229665071768</v>
      </c>
      <c r="N70" s="43">
        <f t="shared" si="47"/>
        <v>1.2763636363636364</v>
      </c>
      <c r="O70" s="43">
        <f t="shared" si="49"/>
        <v>4.3397058823529413</v>
      </c>
      <c r="P70" s="43">
        <f t="shared" si="50"/>
        <v>3.8575163398692811</v>
      </c>
      <c r="Q70" s="43">
        <f>'Futterkurve Mast'!S$45</f>
        <v>1.9725935828877004</v>
      </c>
      <c r="R70" s="43">
        <f>D70*1/13</f>
        <v>1</v>
      </c>
      <c r="S70" s="43">
        <f>0.12*D70</f>
        <v>1.56</v>
      </c>
      <c r="T70" s="1037">
        <v>1</v>
      </c>
      <c r="U70" s="64">
        <f>ROUND(I70/$G70,2)</f>
        <v>0.55000000000000004</v>
      </c>
      <c r="V70" s="64">
        <f>ROUND(K70/$G70,2)</f>
        <v>0.65</v>
      </c>
      <c r="W70" s="1038">
        <f>ROUND(M70/$G70,2)</f>
        <v>0.18</v>
      </c>
      <c r="X70" s="64">
        <f>ROUND(G70/D70,2)</f>
        <v>0.64</v>
      </c>
      <c r="Y70" s="64">
        <f>H70/D70</f>
        <v>0.54545454545454541</v>
      </c>
      <c r="Z70" s="64">
        <f>ROUND(O70/P70,2)</f>
        <v>1.1299999999999999</v>
      </c>
      <c r="AA70" s="64">
        <f>ROUND(O70/Q70,2)</f>
        <v>2.2000000000000002</v>
      </c>
      <c r="AB70" s="154">
        <v>45</v>
      </c>
      <c r="AC70" s="159" t="s">
        <v>314</v>
      </c>
      <c r="AD70" s="43">
        <f t="shared" si="48"/>
        <v>2.3947368421052633</v>
      </c>
      <c r="AE70" s="726">
        <f t="shared" si="48"/>
        <v>2.0475000000000003</v>
      </c>
      <c r="AF70" s="726">
        <f>G70*100/E70</f>
        <v>5.9239006607427651</v>
      </c>
      <c r="AH70" s="724"/>
      <c r="AK70" s="40">
        <f>18*$D70/13</f>
        <v>18</v>
      </c>
      <c r="AL70" s="40">
        <f>10*$D70/13</f>
        <v>10</v>
      </c>
      <c r="AN70" s="719">
        <v>5000</v>
      </c>
      <c r="AO70" s="719">
        <v>1000</v>
      </c>
      <c r="AP70" s="719">
        <v>50</v>
      </c>
      <c r="AS70" s="1354">
        <v>70</v>
      </c>
      <c r="AT70" s="1355">
        <v>120</v>
      </c>
    </row>
    <row r="71" spans="1:46" ht="7.5" customHeight="1">
      <c r="B71" s="47"/>
      <c r="C71" s="34"/>
      <c r="D71" s="43"/>
      <c r="E71" s="43"/>
      <c r="F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1037"/>
      <c r="U71" s="64"/>
      <c r="V71" s="64"/>
      <c r="W71" s="1038"/>
      <c r="X71" s="64"/>
      <c r="Y71" s="64"/>
      <c r="Z71" s="64"/>
      <c r="AA71" s="64"/>
      <c r="AB71" s="64"/>
      <c r="AC71" s="159"/>
      <c r="AD71" s="43"/>
      <c r="AE71" s="726"/>
      <c r="AF71" s="726"/>
      <c r="AH71" s="724"/>
      <c r="AS71" s="24"/>
      <c r="AT71" s="24"/>
    </row>
    <row r="72" spans="1:46">
      <c r="A72" s="13" t="str">
        <f t="shared" si="0"/>
        <v>ab 110 kg LM</v>
      </c>
      <c r="B72" s="47" t="str">
        <f>IF(G72=""," ",COUNTA($G$11:G60))</f>
        <v xml:space="preserve"> </v>
      </c>
      <c r="C72" s="532" t="s">
        <v>827</v>
      </c>
      <c r="D72" s="46"/>
      <c r="E72" s="1261"/>
      <c r="F72" s="65"/>
      <c r="G72" s="40"/>
      <c r="H72" s="40"/>
      <c r="I72" s="43"/>
      <c r="J72" s="40"/>
      <c r="K72" s="40"/>
      <c r="L72" s="40"/>
      <c r="M72" s="40"/>
      <c r="N72" s="40"/>
      <c r="O72" s="40"/>
      <c r="P72" s="40"/>
      <c r="Q72" s="40"/>
      <c r="R72" s="43"/>
      <c r="S72" s="43"/>
      <c r="T72" s="1037"/>
      <c r="U72" s="64"/>
      <c r="V72" s="64"/>
      <c r="W72" s="1038"/>
      <c r="X72" s="51"/>
      <c r="Y72" s="51"/>
      <c r="Z72" s="51"/>
      <c r="AA72" s="51"/>
      <c r="AD72" s="40"/>
      <c r="AE72" s="714"/>
      <c r="AF72" s="714"/>
      <c r="AH72" s="724"/>
      <c r="AS72" s="24"/>
      <c r="AT72" s="24"/>
    </row>
    <row r="73" spans="1:46">
      <c r="A73" s="13" t="str">
        <f t="shared" si="0"/>
        <v>Endmast ab 110 Kg LM für 750 g TZ*</v>
      </c>
      <c r="B73" s="47">
        <f>IF(G73=""," ",COUNTA($G$11:G72))</f>
        <v>30</v>
      </c>
      <c r="C73" s="1349" t="str">
        <f>IF(Futterberechnung!$B$10="","Endmast ab 110 Kg LM für 750 g TZ*",IF(Futterberechnung!$B$10="w","Endmast ab 110 Kg LM für 720 g TZ*",IF(Futterberechnung!$B$10="m","Endmast ab 110 Kg LM für 770 g TZ*","Endmast ab 110 Kg LM für 750 g TZ*")))</f>
        <v>Endmast ab 110 Kg LM für 750 g TZ*</v>
      </c>
      <c r="D73" s="166">
        <f>'Futterkurve Mast'!Q$7</f>
        <v>13</v>
      </c>
      <c r="E73" s="1264">
        <f>IF(AND(Futterberechnung!$B$10="m",'Futterkurve Mast'!$T$6="hp"),(130*D73/13)-(130*D73/13)*0.03,IF(Futterberechnung!$B$10="m",(125*D73/13)-(125*D73/13)*0.03,IF('Futterkurve Mast'!$T$6="HP",130*D73/13,125*D73/13)))</f>
        <v>125</v>
      </c>
      <c r="F73" s="65">
        <f>ROUND(E73*0.85,0)</f>
        <v>106</v>
      </c>
      <c r="G73" s="43">
        <f>H73/0.85</f>
        <v>7.4588235294117649</v>
      </c>
      <c r="H73" s="40">
        <f>IF(Futterberechnung!B$10=" ",'Futterkurve Mast'!U$20,IF(Futterberechnung!B$10="W",'Futterkurve Mast'!U$60,IF(Futterberechnung!B$10="M",'Futterkurve Mast'!U$96,'Futterkurve Mast'!U$20)))</f>
        <v>6.34</v>
      </c>
      <c r="I73" s="43">
        <f t="shared" ref="I73:J75" si="51">G73*0.55</f>
        <v>4.1023529411764708</v>
      </c>
      <c r="J73" s="43">
        <f t="shared" si="51"/>
        <v>3.4870000000000001</v>
      </c>
      <c r="K73" s="40">
        <f t="shared" ref="K73:L75" si="52">G73*0.65</f>
        <v>4.8482352941176474</v>
      </c>
      <c r="L73" s="40">
        <f t="shared" si="52"/>
        <v>4.1210000000000004</v>
      </c>
      <c r="M73" s="40">
        <f t="shared" ref="M73:N75" si="53">G73*0.18</f>
        <v>1.3425882352941176</v>
      </c>
      <c r="N73" s="40">
        <f t="shared" si="53"/>
        <v>1.1412</v>
      </c>
      <c r="O73" s="43">
        <f>Q73*2.2</f>
        <v>3.6960000000000006</v>
      </c>
      <c r="P73" s="43">
        <f>O73/1.16</f>
        <v>3.1862068965517247</v>
      </c>
      <c r="Q73" s="40">
        <f>'Futterkurve Mast'!U$19</f>
        <v>1.6800000000000002</v>
      </c>
      <c r="R73" s="43">
        <f>D73*1/13</f>
        <v>1</v>
      </c>
      <c r="S73" s="43">
        <f>0.12*D73</f>
        <v>1.56</v>
      </c>
      <c r="T73" s="1037">
        <v>1</v>
      </c>
      <c r="U73" s="64">
        <f>ROUND(I73/$G73,2)</f>
        <v>0.55000000000000004</v>
      </c>
      <c r="V73" s="64">
        <f>ROUND(K73/$G73,2)</f>
        <v>0.65</v>
      </c>
      <c r="W73" s="1038">
        <f>ROUND(M73/$G73,2)</f>
        <v>0.18</v>
      </c>
      <c r="X73" s="51">
        <f>ROUND(G73/D73,2)</f>
        <v>0.56999999999999995</v>
      </c>
      <c r="Y73" s="51">
        <f>H73/D73</f>
        <v>0.4876923076923077</v>
      </c>
      <c r="Z73" s="51">
        <f>ROUND(O73/P73,2)</f>
        <v>1.1599999999999999</v>
      </c>
      <c r="AA73" s="51">
        <f>ROUND(O73/Q73,2)</f>
        <v>2.2000000000000002</v>
      </c>
      <c r="AB73" s="154">
        <v>45</v>
      </c>
      <c r="AC73" s="159" t="s">
        <v>314</v>
      </c>
      <c r="AD73" s="40">
        <f t="shared" ref="AD73:AE75" si="54">I73*0.525</f>
        <v>2.1537352941176473</v>
      </c>
      <c r="AE73" s="714">
        <f t="shared" si="54"/>
        <v>1.8306750000000001</v>
      </c>
      <c r="AF73" s="714">
        <f>G73*100/E73</f>
        <v>5.9670588235294115</v>
      </c>
      <c r="AH73" s="724"/>
      <c r="AK73" s="40">
        <f>18*$D73/13</f>
        <v>18</v>
      </c>
      <c r="AL73" s="40">
        <f>10*$D73/13</f>
        <v>10</v>
      </c>
      <c r="AN73" s="719">
        <v>5000</v>
      </c>
      <c r="AO73" s="719">
        <v>1000</v>
      </c>
      <c r="AP73" s="719">
        <v>50</v>
      </c>
      <c r="AS73" s="1354">
        <v>70</v>
      </c>
      <c r="AT73" s="1355">
        <v>120</v>
      </c>
    </row>
    <row r="74" spans="1:46">
      <c r="A74" s="13" t="str">
        <f t="shared" si="0"/>
        <v>Endmast ab 110 Kg LM für 850 g TZ*</v>
      </c>
      <c r="B74" s="47">
        <f>IF(G74=""," ",COUNTA($G$11:G73))</f>
        <v>31</v>
      </c>
      <c r="C74" s="1349" t="str">
        <f>IF(Futterberechnung!$B$10="","Endmast ab 110 Kg LM für 850 g TZ*",IF(Futterberechnung!$B$10="w","Endmast ab 110 Kg LM für 820 g TZ*",IF(Futterberechnung!$B$10="m","Endmast ab 110 Kg LM für 870 g TZ*","Endmast ab 110 Kg LM für 850 g TZ*")))</f>
        <v>Endmast ab 110 Kg LM für 850 g TZ*</v>
      </c>
      <c r="D74" s="166">
        <f>'Futterkurve Mast'!Q$7</f>
        <v>13</v>
      </c>
      <c r="E74" s="1264">
        <f>IF(AND(Futterberechnung!$B$10="m",'Futterkurve Mast'!$T$6="hp"),(135*D74/13)-(135*D74/13)*0.03,IF(Futterberechnung!$B$10="m",(130*D74/13)-(130*D74/13)*0.03,IF('Futterkurve Mast'!$T$6="HP",135*D74/13,130*D74/13)))</f>
        <v>130</v>
      </c>
      <c r="F74" s="65">
        <f>ROUND(E74*0.85,0)</f>
        <v>111</v>
      </c>
      <c r="G74" s="43">
        <f>H74/0.85</f>
        <v>7.9512032085561506</v>
      </c>
      <c r="H74" s="40">
        <f>IF(Futterberechnung!B$10=" ",'Futterkurve Mast'!U$33,IF(Futterberechnung!B$10="W",'Futterkurve Mast'!U$71,IF(Futterberechnung!B$10="m",'Futterkurve Mast'!U$107,'Futterkurve Mast'!U$33)))</f>
        <v>6.7585227272727275</v>
      </c>
      <c r="I74" s="43">
        <f t="shared" si="51"/>
        <v>4.3731617647058831</v>
      </c>
      <c r="J74" s="43">
        <f t="shared" si="51"/>
        <v>3.7171875000000005</v>
      </c>
      <c r="K74" s="43">
        <f t="shared" si="52"/>
        <v>5.1682820855614979</v>
      </c>
      <c r="L74" s="40">
        <f t="shared" si="52"/>
        <v>4.3930397727272732</v>
      </c>
      <c r="M74" s="43">
        <f t="shared" si="53"/>
        <v>1.4312165775401071</v>
      </c>
      <c r="N74" s="43">
        <f t="shared" si="53"/>
        <v>1.2165340909090909</v>
      </c>
      <c r="O74" s="43">
        <f t="shared" ref="O74:O75" si="55">Q74*2.2</f>
        <v>3.8837500000000005</v>
      </c>
      <c r="P74" s="43">
        <f>O74/1.16</f>
        <v>3.3480603448275867</v>
      </c>
      <c r="Q74" s="43">
        <f>'Futterkurve Mast'!U$32</f>
        <v>1.7653409090909091</v>
      </c>
      <c r="R74" s="43">
        <f>D74*1/13</f>
        <v>1</v>
      </c>
      <c r="S74" s="43">
        <f>0.12*D74</f>
        <v>1.56</v>
      </c>
      <c r="T74" s="1037">
        <v>1</v>
      </c>
      <c r="U74" s="64">
        <f>ROUND(I74/$G74,2)</f>
        <v>0.55000000000000004</v>
      </c>
      <c r="V74" s="64">
        <f>ROUND(K74/$G74,2)</f>
        <v>0.65</v>
      </c>
      <c r="W74" s="1038">
        <f>ROUND(M74/$G74,2)</f>
        <v>0.18</v>
      </c>
      <c r="X74" s="64">
        <f>ROUND(G74/D74,2)</f>
        <v>0.61</v>
      </c>
      <c r="Y74" s="64">
        <f>H74/D74</f>
        <v>0.51988636363636365</v>
      </c>
      <c r="Z74" s="64">
        <f>ROUND(O74/P74,2)</f>
        <v>1.1599999999999999</v>
      </c>
      <c r="AA74" s="64">
        <f>ROUND(O74/Q74,2)</f>
        <v>2.2000000000000002</v>
      </c>
      <c r="AB74" s="154">
        <v>45</v>
      </c>
      <c r="AC74" s="159" t="s">
        <v>314</v>
      </c>
      <c r="AD74" s="40">
        <f t="shared" si="54"/>
        <v>2.2959099264705887</v>
      </c>
      <c r="AE74" s="714">
        <f t="shared" si="54"/>
        <v>1.9515234375000003</v>
      </c>
      <c r="AF74" s="714">
        <f>G74*100/E74</f>
        <v>6.1163101604278083</v>
      </c>
      <c r="AH74" s="724"/>
      <c r="AK74" s="40">
        <f>18*$D74/13</f>
        <v>18</v>
      </c>
      <c r="AL74" s="40">
        <f>10*$D74/13</f>
        <v>10</v>
      </c>
      <c r="AN74" s="719">
        <v>5000</v>
      </c>
      <c r="AO74" s="719">
        <v>1000</v>
      </c>
      <c r="AP74" s="719">
        <v>50</v>
      </c>
      <c r="AS74" s="1354">
        <v>70</v>
      </c>
      <c r="AT74" s="1355">
        <v>120</v>
      </c>
    </row>
    <row r="75" spans="1:46" ht="13" thickBot="1">
      <c r="A75" s="13" t="str">
        <f t="shared" si="0"/>
        <v>Endmast ab 110 Kg LM für 950 g TZ*</v>
      </c>
      <c r="B75" s="47">
        <f>IF(G75=""," ",COUNTA($G$11:G74))</f>
        <v>32</v>
      </c>
      <c r="C75" s="1051" t="str">
        <f>IF(Futterberechnung!$B$10="","Endmast ab 110 Kg LM für 950 g TZ*",IF(Futterberechnung!$B$10="w","Endmast ab 110 Kg LM für 920 g TZ*",IF(Futterberechnung!$B$10="m","Endmast ab 110 Kg LM für 970 g TZ*","Endmast ab 110 Kg LM für 950 g TZ*")))</f>
        <v>Endmast ab 110 Kg LM für 950 g TZ*</v>
      </c>
      <c r="D75" s="167">
        <f>'Futterkurve Mast'!Q$7</f>
        <v>13</v>
      </c>
      <c r="E75" s="1265">
        <f>IF(AND(Futterberechnung!$B$10="m",'Futterkurve Mast'!$T$6="hp"),(140*D75/13)-(140*D75/13)*0.03,IF(Futterberechnung!$B$10="m",(135*D75/13)-(135*D75/13)*0.03,IF('Futterkurve Mast'!$T$6="HP",140*D75/13,135*D75/13)))</f>
        <v>135</v>
      </c>
      <c r="F75" s="66">
        <f>ROUND(E75*0.85,0)</f>
        <v>115</v>
      </c>
      <c r="G75" s="42">
        <f>H75/0.85</f>
        <v>8.3753501400560229</v>
      </c>
      <c r="H75" s="42">
        <f>IF(Futterberechnung!B$10=" ",'Futterkurve Mast'!U$46,IF(Futterberechnung!B$10="W",'Futterkurve Mast'!U$82,IF(Futterberechnung!B$10="M",'Futterkurve Mast'!U$118,'Futterkurve Mast'!U$46)))</f>
        <v>7.1190476190476195</v>
      </c>
      <c r="I75" s="42">
        <f t="shared" si="51"/>
        <v>4.6064425770308128</v>
      </c>
      <c r="J75" s="42">
        <f t="shared" si="51"/>
        <v>3.9154761904761912</v>
      </c>
      <c r="K75" s="42">
        <f t="shared" si="52"/>
        <v>5.4439775910364148</v>
      </c>
      <c r="L75" s="42">
        <f t="shared" si="52"/>
        <v>4.6273809523809533</v>
      </c>
      <c r="M75" s="42">
        <f t="shared" si="53"/>
        <v>1.507563025210084</v>
      </c>
      <c r="N75" s="42">
        <f t="shared" si="53"/>
        <v>1.2814285714285714</v>
      </c>
      <c r="O75" s="42">
        <f t="shared" si="55"/>
        <v>4.0478835978835983</v>
      </c>
      <c r="P75" s="42">
        <f>O75/1.16</f>
        <v>3.489554825761723</v>
      </c>
      <c r="Q75" s="42">
        <f>'Futterkurve Mast'!U$45</f>
        <v>1.83994708994709</v>
      </c>
      <c r="R75" s="42">
        <f>D75*1/13</f>
        <v>1</v>
      </c>
      <c r="S75" s="42">
        <f>0.12*D75</f>
        <v>1.56</v>
      </c>
      <c r="T75" s="1039">
        <v>1</v>
      </c>
      <c r="U75" s="52">
        <f>ROUND(I75/$G75,2)</f>
        <v>0.55000000000000004</v>
      </c>
      <c r="V75" s="52">
        <f>ROUND(K75/$G75,2)</f>
        <v>0.65</v>
      </c>
      <c r="W75" s="1040">
        <f>ROUND(M75/$G75,2)</f>
        <v>0.18</v>
      </c>
      <c r="X75" s="52">
        <f>ROUND(G75/D75,2)</f>
        <v>0.64</v>
      </c>
      <c r="Y75" s="52">
        <f>H75/D75</f>
        <v>0.54761904761904767</v>
      </c>
      <c r="Z75" s="52">
        <f>ROUND(O75/P75,2)</f>
        <v>1.1599999999999999</v>
      </c>
      <c r="AA75" s="52">
        <f>ROUND(O75/Q75,2)</f>
        <v>2.2000000000000002</v>
      </c>
      <c r="AB75" s="155">
        <v>45</v>
      </c>
      <c r="AC75" s="158" t="s">
        <v>314</v>
      </c>
      <c r="AD75" s="42">
        <f t="shared" si="54"/>
        <v>2.418382352941177</v>
      </c>
      <c r="AE75" s="727">
        <f t="shared" si="54"/>
        <v>2.0556250000000005</v>
      </c>
      <c r="AF75" s="727">
        <f>G75*100/E75</f>
        <v>6.2039630667081651</v>
      </c>
      <c r="AH75" s="724"/>
      <c r="AK75" s="40">
        <f>18*$D75/13</f>
        <v>18</v>
      </c>
      <c r="AL75" s="40">
        <f>10*$D75/13</f>
        <v>10</v>
      </c>
      <c r="AN75" s="719">
        <v>5000</v>
      </c>
      <c r="AO75" s="719">
        <v>1000</v>
      </c>
      <c r="AP75" s="719">
        <v>50</v>
      </c>
      <c r="AS75" s="1354">
        <v>70</v>
      </c>
      <c r="AT75" s="1355">
        <v>120</v>
      </c>
    </row>
    <row r="76" spans="1:46" ht="7.5" customHeight="1">
      <c r="B76" s="47"/>
      <c r="C76" s="34"/>
      <c r="D76" s="65"/>
      <c r="E76" s="43"/>
      <c r="F76" s="65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1037"/>
      <c r="U76" s="64"/>
      <c r="V76" s="64"/>
      <c r="W76" s="1038"/>
      <c r="X76" s="64"/>
      <c r="Y76" s="64"/>
      <c r="Z76" s="64"/>
      <c r="AA76" s="64"/>
      <c r="AB76" s="159"/>
      <c r="AC76" s="159"/>
      <c r="AD76" s="43"/>
      <c r="AE76" s="726"/>
      <c r="AF76" s="726"/>
      <c r="AH76" s="724"/>
      <c r="AS76" s="24"/>
      <c r="AT76" s="24"/>
    </row>
    <row r="77" spans="1:46">
      <c r="A77" s="13" t="str">
        <f>IF(C77="","",C77)</f>
        <v>Ebermast nach Rechenmeister NRW</v>
      </c>
      <c r="B77" s="47" t="str">
        <f>IF(G77=""," ",COUNTA($G$11:G76))</f>
        <v xml:space="preserve"> </v>
      </c>
      <c r="C77" s="528" t="s">
        <v>828</v>
      </c>
      <c r="E77" s="1261"/>
      <c r="F77" s="65"/>
      <c r="G77" s="40"/>
      <c r="H77" s="40"/>
      <c r="I77" s="43"/>
      <c r="J77" s="40"/>
      <c r="K77" s="40"/>
      <c r="L77" s="40"/>
      <c r="M77" s="40"/>
      <c r="N77" s="40"/>
      <c r="O77" s="40"/>
      <c r="P77" s="40"/>
      <c r="Q77" s="40"/>
      <c r="R77" s="43"/>
      <c r="S77" s="43"/>
      <c r="T77" s="1037"/>
      <c r="U77" s="64"/>
      <c r="V77" s="64"/>
      <c r="W77" s="1038"/>
      <c r="X77" s="51"/>
      <c r="Y77" s="51"/>
      <c r="Z77" s="51"/>
      <c r="AA77" s="51"/>
      <c r="AD77" s="40"/>
      <c r="AE77" s="714"/>
      <c r="AF77" s="714"/>
      <c r="AH77" s="724"/>
      <c r="AS77" s="24"/>
      <c r="AT77" s="24"/>
    </row>
    <row r="78" spans="1:46" ht="7.5" customHeight="1">
      <c r="B78" s="47"/>
      <c r="C78" s="34"/>
      <c r="D78" s="35"/>
      <c r="E78" s="35"/>
      <c r="F78" s="65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1037"/>
      <c r="U78" s="64"/>
      <c r="V78" s="64"/>
      <c r="W78" s="1038"/>
      <c r="X78" s="64"/>
      <c r="Y78" s="64"/>
      <c r="Z78" s="64"/>
      <c r="AA78" s="64"/>
      <c r="AB78" s="35"/>
      <c r="AC78" s="159"/>
      <c r="AD78" s="43"/>
      <c r="AE78" s="726"/>
      <c r="AF78" s="726"/>
      <c r="AS78" s="24"/>
      <c r="AT78" s="24"/>
    </row>
    <row r="79" spans="1:46">
      <c r="A79" s="13" t="str">
        <f t="shared" ref="A79:A85" si="56">IF(C79="","",C79)</f>
        <v>Vormast Eber 30 - 40 kg LM für 850 g TZ*</v>
      </c>
      <c r="B79" s="47">
        <f>IF(G79=""," ",COUNTA($G$11:G76))</f>
        <v>33</v>
      </c>
      <c r="C79" s="1050" t="s">
        <v>818</v>
      </c>
      <c r="D79" s="164">
        <f>'Futterkurve Mast'!E$7</f>
        <v>13.4</v>
      </c>
      <c r="E79" s="1264">
        <f>175*D79/13.4</f>
        <v>175</v>
      </c>
      <c r="F79" s="65">
        <f>ROUND(E79*0.89,0)</f>
        <v>156</v>
      </c>
      <c r="G79" s="40">
        <f>H79/0.89</f>
        <v>12.57191011235955</v>
      </c>
      <c r="H79" s="40">
        <f>'Futterkurve Mast'!E132</f>
        <v>11.189</v>
      </c>
      <c r="I79" s="43">
        <f t="shared" ref="I79:J85" si="57">G79*0.56</f>
        <v>7.0402696629213484</v>
      </c>
      <c r="J79" s="43">
        <f t="shared" si="57"/>
        <v>6.2658400000000007</v>
      </c>
      <c r="K79" s="40">
        <f>G79*0.63</f>
        <v>7.9203033707865167</v>
      </c>
      <c r="L79" s="40">
        <f>H79*0.63</f>
        <v>7.0490700000000004</v>
      </c>
      <c r="M79" s="40">
        <f t="shared" ref="M79:N85" si="58">G79*0.18</f>
        <v>2.2629438202247187</v>
      </c>
      <c r="N79" s="40">
        <f t="shared" si="58"/>
        <v>2.0140199999999999</v>
      </c>
      <c r="O79" s="40">
        <f>Q79*2.18</f>
        <v>6.5205357142857148</v>
      </c>
      <c r="P79" s="43">
        <f>O79/1.3</f>
        <v>5.0157967032967035</v>
      </c>
      <c r="Q79" s="40">
        <f>Q31</f>
        <v>2.9910714285714284</v>
      </c>
      <c r="R79" s="43">
        <f>D79*1/13.4</f>
        <v>1</v>
      </c>
      <c r="S79" s="43">
        <f>0.15*D79</f>
        <v>2.0099999999999998</v>
      </c>
      <c r="T79" s="1037">
        <v>1</v>
      </c>
      <c r="U79" s="64">
        <f t="shared" ref="U79:U85" si="59">ROUND(I79/$G79,2)</f>
        <v>0.56000000000000005</v>
      </c>
      <c r="V79" s="64">
        <f t="shared" ref="V79:V85" si="60">ROUND(K79/$G79,2)</f>
        <v>0.63</v>
      </c>
      <c r="W79" s="1038">
        <f t="shared" ref="W79:W85" si="61">ROUND(M79/$G79,2)</f>
        <v>0.18</v>
      </c>
      <c r="X79" s="51">
        <f t="shared" ref="X79:X85" si="62">ROUND(G79/D79,2)</f>
        <v>0.94</v>
      </c>
      <c r="Y79" s="51">
        <f t="shared" ref="Y79:Y85" si="63">H79/D79</f>
        <v>0.83499999999999996</v>
      </c>
      <c r="Z79" s="51">
        <f t="shared" ref="Z79:Z85" si="64">ROUND(O79/P79,2)</f>
        <v>1.3</v>
      </c>
      <c r="AA79" s="51">
        <f t="shared" ref="AA79:AA85" si="65">ROUND(O79/Q79,2)</f>
        <v>2.1800000000000002</v>
      </c>
      <c r="AB79" s="154">
        <v>40</v>
      </c>
      <c r="AC79" s="159" t="s">
        <v>793</v>
      </c>
      <c r="AD79" s="40">
        <f t="shared" ref="AD79:AE85" si="66">I79*0.525</f>
        <v>3.6961415730337079</v>
      </c>
      <c r="AE79" s="714">
        <f t="shared" si="66"/>
        <v>3.2895660000000007</v>
      </c>
      <c r="AF79" s="714">
        <f t="shared" ref="AF79:AF85" si="67">G79*100/E79</f>
        <v>7.183948635634029</v>
      </c>
      <c r="AH79" s="724"/>
      <c r="AK79" s="40">
        <f>18*$D79/13.4</f>
        <v>18</v>
      </c>
      <c r="AL79" s="40">
        <f>10*$D79/13.4</f>
        <v>10</v>
      </c>
      <c r="AN79" s="719">
        <v>6000</v>
      </c>
      <c r="AO79" s="719">
        <v>1500</v>
      </c>
      <c r="AP79" s="719">
        <v>60</v>
      </c>
      <c r="AS79" s="1354">
        <v>70</v>
      </c>
      <c r="AT79" s="1355">
        <v>120</v>
      </c>
    </row>
    <row r="80" spans="1:46">
      <c r="A80" s="13" t="str">
        <f t="shared" si="56"/>
        <v>Anfangsmast Eber ab 40 kg LM für 850 g TZ*</v>
      </c>
      <c r="B80" s="47">
        <f>IF(G80=""," ",COUNTA($G$11:G79))</f>
        <v>34</v>
      </c>
      <c r="C80" s="1050" t="s">
        <v>839</v>
      </c>
      <c r="D80" s="164">
        <f>'Futterkurve Mast'!G$7</f>
        <v>13.2</v>
      </c>
      <c r="E80" s="1264">
        <f>170*D80/13.4</f>
        <v>167.46268656716418</v>
      </c>
      <c r="F80" s="65">
        <f>ROUND(E80*0.88,0)</f>
        <v>147</v>
      </c>
      <c r="G80" s="43">
        <f>H80/0.88</f>
        <v>11.420454545454547</v>
      </c>
      <c r="H80" s="40">
        <f>'Futterkurve Mast'!G132</f>
        <v>10.050000000000001</v>
      </c>
      <c r="I80" s="43">
        <f t="shared" si="57"/>
        <v>6.3954545454545464</v>
      </c>
      <c r="J80" s="43">
        <f t="shared" si="57"/>
        <v>5.628000000000001</v>
      </c>
      <c r="K80" s="40">
        <f t="shared" ref="K80:L85" si="68">G80*0.65</f>
        <v>7.4232954545454559</v>
      </c>
      <c r="L80" s="40">
        <f t="shared" si="68"/>
        <v>6.5325000000000006</v>
      </c>
      <c r="M80" s="40">
        <f t="shared" si="58"/>
        <v>2.0556818181818182</v>
      </c>
      <c r="N80" s="40">
        <f t="shared" si="58"/>
        <v>1.8090000000000002</v>
      </c>
      <c r="O80" s="43">
        <f>Q80*2.075</f>
        <v>5.9276865671641783</v>
      </c>
      <c r="P80" s="43">
        <f>O80/1.28</f>
        <v>4.6310051305970141</v>
      </c>
      <c r="Q80" s="40">
        <f>2.9*D80/13.4</f>
        <v>2.8567164179104472</v>
      </c>
      <c r="R80" s="43">
        <f>D80*1/13.4</f>
        <v>0.9850746268656716</v>
      </c>
      <c r="S80" s="43">
        <f>0.14*D80</f>
        <v>1.8480000000000001</v>
      </c>
      <c r="T80" s="1037">
        <v>1</v>
      </c>
      <c r="U80" s="64">
        <f t="shared" si="59"/>
        <v>0.56000000000000005</v>
      </c>
      <c r="V80" s="64">
        <f t="shared" si="60"/>
        <v>0.65</v>
      </c>
      <c r="W80" s="1038">
        <f t="shared" si="61"/>
        <v>0.18</v>
      </c>
      <c r="X80" s="51">
        <f t="shared" si="62"/>
        <v>0.87</v>
      </c>
      <c r="Y80" s="51">
        <f t="shared" si="63"/>
        <v>0.76136363636363646</v>
      </c>
      <c r="Z80" s="51">
        <f t="shared" si="64"/>
        <v>1.28</v>
      </c>
      <c r="AA80" s="51">
        <f t="shared" si="65"/>
        <v>2.08</v>
      </c>
      <c r="AB80" s="154">
        <v>40</v>
      </c>
      <c r="AC80" s="159" t="s">
        <v>793</v>
      </c>
      <c r="AD80" s="40">
        <f t="shared" si="66"/>
        <v>3.3576136363636371</v>
      </c>
      <c r="AE80" s="714">
        <f t="shared" si="66"/>
        <v>2.9547000000000008</v>
      </c>
      <c r="AF80" s="714">
        <f t="shared" si="67"/>
        <v>6.8197010209042306</v>
      </c>
      <c r="AH80" s="724"/>
      <c r="AK80" s="40">
        <f>18*$D80/13.4</f>
        <v>17.731343283582088</v>
      </c>
      <c r="AL80" s="40">
        <f>10*$D80/13.4</f>
        <v>9.8507462686567155</v>
      </c>
      <c r="AN80" s="719">
        <v>6000</v>
      </c>
      <c r="AO80" s="719">
        <v>1500</v>
      </c>
      <c r="AP80" s="719">
        <v>60</v>
      </c>
      <c r="AS80" s="1354">
        <v>70</v>
      </c>
      <c r="AT80" s="1355">
        <v>120</v>
      </c>
    </row>
    <row r="81" spans="1:47">
      <c r="A81" s="13" t="str">
        <f t="shared" si="56"/>
        <v>Anfangsmast Eber ab 50 kg LM für 850 g TZ*</v>
      </c>
      <c r="B81" s="47">
        <f>IF(G81=""," ",COUNTA($G$11:G80))</f>
        <v>35</v>
      </c>
      <c r="C81" s="1050" t="s">
        <v>842</v>
      </c>
      <c r="D81" s="164">
        <f>'Futterkurve Mast'!G$7</f>
        <v>13.2</v>
      </c>
      <c r="E81" s="1264">
        <f>165*D81/13.4</f>
        <v>162.53731343283582</v>
      </c>
      <c r="F81" s="65">
        <f>ROUND(E81*0.88,0)</f>
        <v>143</v>
      </c>
      <c r="G81" s="43">
        <f>H81/0.88</f>
        <v>11.025</v>
      </c>
      <c r="H81" s="40">
        <f>'Futterkurve Mast'!I132</f>
        <v>9.702</v>
      </c>
      <c r="I81" s="43">
        <f t="shared" ref="I81:J83" si="69">G81*0.56</f>
        <v>6.1740000000000004</v>
      </c>
      <c r="J81" s="43">
        <f t="shared" si="69"/>
        <v>5.4331200000000006</v>
      </c>
      <c r="K81" s="40">
        <f t="shared" ref="K81:L83" si="70">G81*0.65</f>
        <v>7.1662500000000007</v>
      </c>
      <c r="L81" s="40">
        <f t="shared" si="70"/>
        <v>6.3063000000000002</v>
      </c>
      <c r="M81" s="40">
        <f t="shared" ref="M81:N83" si="71">G81*0.18</f>
        <v>1.9844999999999999</v>
      </c>
      <c r="N81" s="40">
        <f t="shared" si="71"/>
        <v>1.7463599999999999</v>
      </c>
      <c r="O81" s="43">
        <f>Q81*2.2</f>
        <v>5.4179104477611943</v>
      </c>
      <c r="P81" s="43">
        <f>O81/1.23</f>
        <v>4.4048052420822721</v>
      </c>
      <c r="Q81" s="40">
        <f>2.5*D81/13.4</f>
        <v>2.4626865671641789</v>
      </c>
      <c r="R81" s="43">
        <f>D81*1/13.4</f>
        <v>0.9850746268656716</v>
      </c>
      <c r="S81" s="43">
        <f>0.135*D81</f>
        <v>1.782</v>
      </c>
      <c r="T81" s="1037">
        <v>1</v>
      </c>
      <c r="U81" s="64">
        <f t="shared" si="59"/>
        <v>0.56000000000000005</v>
      </c>
      <c r="V81" s="64">
        <f t="shared" si="60"/>
        <v>0.65</v>
      </c>
      <c r="W81" s="1038">
        <f t="shared" si="61"/>
        <v>0.18</v>
      </c>
      <c r="X81" s="51">
        <f t="shared" si="62"/>
        <v>0.84</v>
      </c>
      <c r="Y81" s="51">
        <f t="shared" si="63"/>
        <v>0.73499999999999999</v>
      </c>
      <c r="Z81" s="51">
        <f t="shared" si="64"/>
        <v>1.23</v>
      </c>
      <c r="AA81" s="51">
        <f t="shared" si="65"/>
        <v>2.2000000000000002</v>
      </c>
      <c r="AB81" s="154">
        <v>40</v>
      </c>
      <c r="AC81" s="159" t="s">
        <v>793</v>
      </c>
      <c r="AD81" s="40">
        <f t="shared" ref="AD81:AE83" si="72">I81*0.525</f>
        <v>3.2413500000000002</v>
      </c>
      <c r="AE81" s="714">
        <f t="shared" si="72"/>
        <v>2.8523880000000004</v>
      </c>
      <c r="AF81" s="714">
        <f t="shared" si="67"/>
        <v>6.7830578512396693</v>
      </c>
      <c r="AH81" s="724"/>
      <c r="AK81" s="40">
        <f>18*$D81/13.4</f>
        <v>17.731343283582088</v>
      </c>
      <c r="AL81" s="40">
        <f>10*$D81/13.4</f>
        <v>9.8507462686567155</v>
      </c>
      <c r="AN81" s="719">
        <v>6000</v>
      </c>
      <c r="AO81" s="719">
        <v>1500</v>
      </c>
      <c r="AP81" s="719">
        <v>60</v>
      </c>
      <c r="AS81" s="1354">
        <v>70</v>
      </c>
      <c r="AT81" s="1355">
        <v>120</v>
      </c>
    </row>
    <row r="82" spans="1:47">
      <c r="A82" s="13" t="str">
        <f t="shared" si="56"/>
        <v>Mittelmast Eber ab 60 kg LM für 850 g TZ*</v>
      </c>
      <c r="B82" s="47">
        <f>IF(G82=""," ",COUNTA($G$11:G78))</f>
        <v>33</v>
      </c>
      <c r="C82" s="1050" t="s">
        <v>843</v>
      </c>
      <c r="D82" s="164">
        <f>'Futterkurve Mast'!G$7</f>
        <v>13.2</v>
      </c>
      <c r="E82" s="1264">
        <f>155*D82/13.4</f>
        <v>152.68656716417911</v>
      </c>
      <c r="F82" s="65">
        <f>ROUND(E82*0.88,0)</f>
        <v>134</v>
      </c>
      <c r="G82" s="43">
        <f>H82/0.88</f>
        <v>9.99</v>
      </c>
      <c r="H82" s="40">
        <f>'Futterkurve Mast'!K132</f>
        <v>8.7911999999999999</v>
      </c>
      <c r="I82" s="43">
        <f t="shared" si="69"/>
        <v>5.5944000000000003</v>
      </c>
      <c r="J82" s="43">
        <f t="shared" si="69"/>
        <v>4.9230720000000003</v>
      </c>
      <c r="K82" s="40">
        <f t="shared" si="70"/>
        <v>6.4935</v>
      </c>
      <c r="L82" s="40">
        <f t="shared" si="70"/>
        <v>5.7142800000000005</v>
      </c>
      <c r="M82" s="40">
        <f t="shared" si="71"/>
        <v>1.7982</v>
      </c>
      <c r="N82" s="40">
        <f t="shared" si="71"/>
        <v>1.5824159999999998</v>
      </c>
      <c r="O82" s="43">
        <f>Q82*2.2</f>
        <v>5.201194029850746</v>
      </c>
      <c r="P82" s="43">
        <f>O82/1.18</f>
        <v>4.4077915507209715</v>
      </c>
      <c r="Q82" s="40">
        <f>2.4*D82/13.4</f>
        <v>2.3641791044776115</v>
      </c>
      <c r="R82" s="43">
        <f>D82*1/13</f>
        <v>1.0153846153846153</v>
      </c>
      <c r="S82" s="43">
        <f>0.125*D82</f>
        <v>1.65</v>
      </c>
      <c r="T82" s="1037">
        <v>1</v>
      </c>
      <c r="U82" s="64">
        <f t="shared" si="59"/>
        <v>0.56000000000000005</v>
      </c>
      <c r="V82" s="64">
        <f t="shared" si="60"/>
        <v>0.65</v>
      </c>
      <c r="W82" s="1038">
        <f t="shared" si="61"/>
        <v>0.18</v>
      </c>
      <c r="X82" s="51">
        <f t="shared" si="62"/>
        <v>0.76</v>
      </c>
      <c r="Y82" s="51">
        <f t="shared" si="63"/>
        <v>0.66600000000000004</v>
      </c>
      <c r="Z82" s="51">
        <f t="shared" si="64"/>
        <v>1.18</v>
      </c>
      <c r="AA82" s="51">
        <f t="shared" si="65"/>
        <v>2.2000000000000002</v>
      </c>
      <c r="AB82" s="153">
        <v>45</v>
      </c>
      <c r="AC82" s="159" t="s">
        <v>314</v>
      </c>
      <c r="AD82" s="40">
        <f t="shared" si="72"/>
        <v>2.9370600000000002</v>
      </c>
      <c r="AE82" s="714">
        <f t="shared" si="72"/>
        <v>2.5846128000000004</v>
      </c>
      <c r="AF82" s="714">
        <f t="shared" si="67"/>
        <v>6.5428152492668623</v>
      </c>
      <c r="AH82" s="724"/>
      <c r="AK82" s="40">
        <f>18*$D82/13</f>
        <v>18.276923076923076</v>
      </c>
      <c r="AL82" s="40">
        <f>10*$D82/13</f>
        <v>10.153846153846153</v>
      </c>
      <c r="AN82" s="719">
        <v>5000</v>
      </c>
      <c r="AO82" s="719">
        <v>1000</v>
      </c>
      <c r="AP82" s="719">
        <v>50</v>
      </c>
      <c r="AS82" s="1354">
        <v>70</v>
      </c>
      <c r="AT82" s="1355">
        <v>120</v>
      </c>
    </row>
    <row r="83" spans="1:47">
      <c r="A83" s="13" t="str">
        <f t="shared" si="56"/>
        <v>Mittelmast Eber ab 70 kg LM für 850 g TZ*</v>
      </c>
      <c r="B83" s="47">
        <f>IF(G83=""," ",COUNTA($G$11:G79))</f>
        <v>34</v>
      </c>
      <c r="C83" s="1050" t="s">
        <v>840</v>
      </c>
      <c r="D83" s="164">
        <f>'Futterkurve Mast'!M$7</f>
        <v>13</v>
      </c>
      <c r="E83" s="1264">
        <f>155*D83/13.4</f>
        <v>150.37313432835822</v>
      </c>
      <c r="F83" s="65">
        <f>ROUND(E83*0.86,0)</f>
        <v>129</v>
      </c>
      <c r="G83" s="43">
        <f>H83/0.86</f>
        <v>9.75</v>
      </c>
      <c r="H83" s="40">
        <f>'Futterkurve Mast'!M132</f>
        <v>8.3849999999999998</v>
      </c>
      <c r="I83" s="43">
        <f t="shared" si="69"/>
        <v>5.4600000000000009</v>
      </c>
      <c r="J83" s="43">
        <f t="shared" si="69"/>
        <v>4.6956000000000007</v>
      </c>
      <c r="K83" s="40">
        <f t="shared" si="70"/>
        <v>6.3375000000000004</v>
      </c>
      <c r="L83" s="40">
        <f t="shared" si="70"/>
        <v>5.4502500000000005</v>
      </c>
      <c r="M83" s="40">
        <f t="shared" si="71"/>
        <v>1.7549999999999999</v>
      </c>
      <c r="N83" s="40">
        <f t="shared" si="71"/>
        <v>1.5092999999999999</v>
      </c>
      <c r="O83" s="43">
        <f>Q83*2.17</f>
        <v>4.8935714285714278</v>
      </c>
      <c r="P83" s="43">
        <f>O83/1.125</f>
        <v>4.349841269841269</v>
      </c>
      <c r="Q83" s="40">
        <f>Q52</f>
        <v>2.2551020408163263</v>
      </c>
      <c r="R83" s="43">
        <f>D83*1/13</f>
        <v>1</v>
      </c>
      <c r="S83" s="43">
        <f>0.12*D83</f>
        <v>1.56</v>
      </c>
      <c r="T83" s="1037">
        <v>1</v>
      </c>
      <c r="U83" s="64">
        <f t="shared" si="59"/>
        <v>0.56000000000000005</v>
      </c>
      <c r="V83" s="64">
        <f t="shared" si="60"/>
        <v>0.65</v>
      </c>
      <c r="W83" s="1038">
        <f t="shared" si="61"/>
        <v>0.18</v>
      </c>
      <c r="X83" s="51">
        <f t="shared" si="62"/>
        <v>0.75</v>
      </c>
      <c r="Y83" s="51">
        <f t="shared" si="63"/>
        <v>0.64500000000000002</v>
      </c>
      <c r="Z83" s="51">
        <f t="shared" si="64"/>
        <v>1.1299999999999999</v>
      </c>
      <c r="AA83" s="51">
        <f t="shared" si="65"/>
        <v>2.17</v>
      </c>
      <c r="AB83" s="153">
        <v>45</v>
      </c>
      <c r="AC83" s="159" t="s">
        <v>314</v>
      </c>
      <c r="AD83" s="40">
        <f t="shared" si="72"/>
        <v>2.8665000000000007</v>
      </c>
      <c r="AE83" s="714">
        <f t="shared" si="72"/>
        <v>2.4651900000000007</v>
      </c>
      <c r="AF83" s="714">
        <f t="shared" si="67"/>
        <v>6.4838709677419351</v>
      </c>
      <c r="AH83" s="724"/>
      <c r="AK83" s="40">
        <f>18*$D83/13</f>
        <v>18</v>
      </c>
      <c r="AL83" s="40">
        <f>10*$D83/13</f>
        <v>10</v>
      </c>
      <c r="AN83" s="719">
        <v>5000</v>
      </c>
      <c r="AO83" s="719">
        <v>1000</v>
      </c>
      <c r="AP83" s="719">
        <v>50</v>
      </c>
      <c r="AS83" s="1354">
        <v>70</v>
      </c>
      <c r="AT83" s="1355">
        <v>120</v>
      </c>
    </row>
    <row r="84" spans="1:47">
      <c r="A84" s="13" t="str">
        <f t="shared" si="56"/>
        <v>Mittelmast Eber ab 80 kg LM für 850 g TZ*</v>
      </c>
      <c r="B84" s="47">
        <f>IF(G84=""," ",COUNTA($G$11:G80))</f>
        <v>35</v>
      </c>
      <c r="C84" s="1050" t="s">
        <v>844</v>
      </c>
      <c r="D84" s="164">
        <f>'Futterkurve Mast'!M$7</f>
        <v>13</v>
      </c>
      <c r="E84" s="1264">
        <f>150*D84/13.4</f>
        <v>145.52238805970148</v>
      </c>
      <c r="F84" s="65">
        <f>ROUND(E84*0.86,0)</f>
        <v>125</v>
      </c>
      <c r="G84" s="43">
        <f>H84/0.86</f>
        <v>9.3720930232558146</v>
      </c>
      <c r="H84" s="40">
        <f>'Futterkurve Mast'!O132</f>
        <v>8.06</v>
      </c>
      <c r="I84" s="43">
        <f t="shared" si="57"/>
        <v>5.2483720930232565</v>
      </c>
      <c r="J84" s="43">
        <f t="shared" si="57"/>
        <v>4.5136000000000003</v>
      </c>
      <c r="K84" s="40">
        <f t="shared" si="68"/>
        <v>6.0918604651162793</v>
      </c>
      <c r="L84" s="40">
        <f t="shared" si="68"/>
        <v>5.2390000000000008</v>
      </c>
      <c r="M84" s="40">
        <f t="shared" si="58"/>
        <v>1.6869767441860466</v>
      </c>
      <c r="N84" s="40">
        <f t="shared" si="58"/>
        <v>1.4508000000000001</v>
      </c>
      <c r="O84" s="43">
        <f>Q84*2.025</f>
        <v>4.3677364864864865</v>
      </c>
      <c r="P84" s="43">
        <f>O84/1.01</f>
        <v>4.3244915707786991</v>
      </c>
      <c r="Q84" s="40">
        <f>Q58</f>
        <v>2.1569069069069071</v>
      </c>
      <c r="R84" s="43">
        <f>D84*1/13</f>
        <v>1</v>
      </c>
      <c r="S84" s="43">
        <f>0.12*D84</f>
        <v>1.56</v>
      </c>
      <c r="T84" s="1037">
        <v>1</v>
      </c>
      <c r="U84" s="64">
        <f t="shared" si="59"/>
        <v>0.56000000000000005</v>
      </c>
      <c r="V84" s="64">
        <f t="shared" si="60"/>
        <v>0.65</v>
      </c>
      <c r="W84" s="1038">
        <f t="shared" si="61"/>
        <v>0.18</v>
      </c>
      <c r="X84" s="51">
        <f t="shared" si="62"/>
        <v>0.72</v>
      </c>
      <c r="Y84" s="51">
        <f t="shared" si="63"/>
        <v>0.62</v>
      </c>
      <c r="Z84" s="51">
        <f t="shared" si="64"/>
        <v>1.01</v>
      </c>
      <c r="AA84" s="51">
        <f t="shared" si="65"/>
        <v>2.0299999999999998</v>
      </c>
      <c r="AB84" s="153">
        <v>45</v>
      </c>
      <c r="AC84" s="159" t="s">
        <v>314</v>
      </c>
      <c r="AD84" s="40">
        <f t="shared" si="66"/>
        <v>2.7553953488372098</v>
      </c>
      <c r="AE84" s="714">
        <f t="shared" si="66"/>
        <v>2.3696400000000004</v>
      </c>
      <c r="AF84" s="714">
        <f t="shared" si="67"/>
        <v>6.4403100775193804</v>
      </c>
      <c r="AH84" s="724"/>
      <c r="AK84" s="40">
        <f>18*$D84/13</f>
        <v>18</v>
      </c>
      <c r="AL84" s="40">
        <f>10*$D84/13</f>
        <v>10</v>
      </c>
      <c r="AN84" s="719">
        <v>5000</v>
      </c>
      <c r="AO84" s="719">
        <v>1000</v>
      </c>
      <c r="AP84" s="719">
        <v>50</v>
      </c>
      <c r="AS84" s="1354">
        <v>70</v>
      </c>
      <c r="AT84" s="1355">
        <v>120</v>
      </c>
    </row>
    <row r="85" spans="1:47" ht="13" thickBot="1">
      <c r="A85" s="36" t="str">
        <f t="shared" si="56"/>
        <v>Endmast Eber ab 90 kg LM für 850 g TZ*</v>
      </c>
      <c r="B85" s="1346">
        <f>IF(G85=""," ",COUNTA($G$11:G84))</f>
        <v>39</v>
      </c>
      <c r="C85" s="1270" t="s">
        <v>841</v>
      </c>
      <c r="D85" s="167">
        <f>'Futterkurve Mast'!Q$7</f>
        <v>13</v>
      </c>
      <c r="E85" s="1265">
        <f>150*D85/13.4</f>
        <v>145.52238805970148</v>
      </c>
      <c r="F85" s="66">
        <f>ROUND(E85*0.86,0)</f>
        <v>125</v>
      </c>
      <c r="G85" s="42">
        <f>H85/0.86</f>
        <v>8.9186046511627914</v>
      </c>
      <c r="H85" s="42">
        <f>'Futterkurve Mast'!Q132</f>
        <v>7.67</v>
      </c>
      <c r="I85" s="42">
        <f t="shared" si="57"/>
        <v>4.9944186046511634</v>
      </c>
      <c r="J85" s="42">
        <f t="shared" si="57"/>
        <v>4.2952000000000004</v>
      </c>
      <c r="K85" s="42">
        <f t="shared" si="68"/>
        <v>5.7970930232558144</v>
      </c>
      <c r="L85" s="42">
        <f t="shared" si="68"/>
        <v>4.9855</v>
      </c>
      <c r="M85" s="42">
        <f t="shared" si="58"/>
        <v>1.6053488372093023</v>
      </c>
      <c r="N85" s="42">
        <f t="shared" si="58"/>
        <v>1.3805999999999998</v>
      </c>
      <c r="O85" s="42">
        <f>Q85*2.25</f>
        <v>4.3966121495327108</v>
      </c>
      <c r="P85" s="42">
        <f>O85/1.12</f>
        <v>3.925546562082777</v>
      </c>
      <c r="Q85" s="42">
        <f>Q63</f>
        <v>1.9540498442367602</v>
      </c>
      <c r="R85" s="42">
        <f>D85*1/13</f>
        <v>1</v>
      </c>
      <c r="S85" s="42">
        <f>0.115*D85</f>
        <v>1.4950000000000001</v>
      </c>
      <c r="T85" s="1039">
        <v>1</v>
      </c>
      <c r="U85" s="52">
        <f t="shared" si="59"/>
        <v>0.56000000000000005</v>
      </c>
      <c r="V85" s="52">
        <f t="shared" si="60"/>
        <v>0.65</v>
      </c>
      <c r="W85" s="1040">
        <f t="shared" si="61"/>
        <v>0.18</v>
      </c>
      <c r="X85" s="52">
        <f t="shared" si="62"/>
        <v>0.69</v>
      </c>
      <c r="Y85" s="52">
        <f t="shared" si="63"/>
        <v>0.59</v>
      </c>
      <c r="Z85" s="52">
        <f t="shared" si="64"/>
        <v>1.1200000000000001</v>
      </c>
      <c r="AA85" s="52">
        <f t="shared" si="65"/>
        <v>2.25</v>
      </c>
      <c r="AB85" s="155">
        <v>45</v>
      </c>
      <c r="AC85" s="158" t="s">
        <v>314</v>
      </c>
      <c r="AD85" s="42">
        <f t="shared" si="66"/>
        <v>2.6220697674418609</v>
      </c>
      <c r="AE85" s="727">
        <f t="shared" si="66"/>
        <v>2.2549800000000002</v>
      </c>
      <c r="AF85" s="727">
        <f t="shared" si="67"/>
        <v>6.1286821705426364</v>
      </c>
      <c r="AH85" s="724"/>
      <c r="AK85" s="40">
        <f>18*$D85/13</f>
        <v>18</v>
      </c>
      <c r="AL85" s="40">
        <f>10*$D85/13</f>
        <v>10</v>
      </c>
      <c r="AN85" s="719">
        <v>5000</v>
      </c>
      <c r="AO85" s="719">
        <v>1000</v>
      </c>
      <c r="AP85" s="719">
        <v>50</v>
      </c>
      <c r="AS85" s="1354">
        <v>70</v>
      </c>
      <c r="AT85" s="1355">
        <v>120</v>
      </c>
    </row>
    <row r="86" spans="1:47" ht="7.5" customHeight="1">
      <c r="B86" s="47"/>
      <c r="C86" s="34"/>
      <c r="D86" s="65"/>
      <c r="E86" s="43"/>
      <c r="F86" s="65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1037"/>
      <c r="U86" s="64"/>
      <c r="V86" s="64"/>
      <c r="W86" s="1038"/>
      <c r="X86" s="64"/>
      <c r="Y86" s="64"/>
      <c r="Z86" s="64"/>
      <c r="AA86" s="64"/>
      <c r="AB86" s="159"/>
      <c r="AC86" s="159"/>
      <c r="AD86" s="43"/>
      <c r="AE86" s="1277"/>
      <c r="AF86" s="1277"/>
      <c r="AH86" s="724"/>
    </row>
    <row r="87" spans="1:47" ht="12.75" customHeight="1">
      <c r="A87" s="13" t="str">
        <f t="shared" ref="A87:A94" si="73">IF(C87="","",C87)</f>
        <v>Sauen</v>
      </c>
      <c r="B87" s="47"/>
      <c r="C87" s="529" t="s">
        <v>787</v>
      </c>
      <c r="D87" s="43"/>
      <c r="E87" s="65"/>
      <c r="F87" s="65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1037"/>
      <c r="U87" s="64"/>
      <c r="V87" s="64"/>
      <c r="W87" s="1038"/>
      <c r="X87" s="64"/>
      <c r="Y87" s="64"/>
      <c r="Z87" s="64"/>
      <c r="AA87" s="64"/>
      <c r="AB87" s="39" t="s">
        <v>87</v>
      </c>
      <c r="AC87" s="39" t="s">
        <v>87</v>
      </c>
      <c r="AD87" s="40"/>
      <c r="AE87" s="1278"/>
      <c r="AF87" s="1278"/>
      <c r="AH87" s="724"/>
    </row>
    <row r="88" spans="1:47" ht="7.5" customHeight="1">
      <c r="B88" s="47"/>
      <c r="C88" s="529"/>
      <c r="D88" s="43"/>
      <c r="E88" s="65"/>
      <c r="F88" s="65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1037"/>
      <c r="U88" s="64"/>
      <c r="V88" s="64"/>
      <c r="W88" s="1038"/>
      <c r="X88" s="64"/>
      <c r="Y88" s="64"/>
      <c r="Z88" s="64"/>
      <c r="AA88" s="64"/>
      <c r="AB88" s="39"/>
      <c r="AC88" s="39"/>
      <c r="AD88" s="40"/>
      <c r="AE88" s="1278"/>
      <c r="AF88" s="1278"/>
      <c r="AH88" s="724"/>
    </row>
    <row r="89" spans="1:47" ht="12.75" customHeight="1">
      <c r="A89" s="13" t="str">
        <f t="shared" si="73"/>
        <v>niedertragende Sauen sowie durchgängig für Altsauen</v>
      </c>
      <c r="B89" s="47">
        <f>IF(G89=""," ",COUNTA($G$11:G87))</f>
        <v>40</v>
      </c>
      <c r="C89" s="1050" t="s">
        <v>788</v>
      </c>
      <c r="D89" s="124">
        <v>12</v>
      </c>
      <c r="E89" s="125">
        <v>130</v>
      </c>
      <c r="F89" s="65">
        <f>E89*0.79</f>
        <v>102.7</v>
      </c>
      <c r="G89" s="40">
        <f>H89/0.79</f>
        <v>5.4683544303797467</v>
      </c>
      <c r="H89" s="40">
        <f>D89*0.36</f>
        <v>4.32</v>
      </c>
      <c r="I89" s="40">
        <f t="shared" ref="I89:J91" si="74">G89*0.6</f>
        <v>3.2810126582278478</v>
      </c>
      <c r="J89" s="43">
        <f t="shared" si="74"/>
        <v>2.5920000000000001</v>
      </c>
      <c r="K89" s="43">
        <f t="shared" ref="K89:L91" si="75">G89*0.65</f>
        <v>3.5544303797468353</v>
      </c>
      <c r="L89" s="43">
        <f t="shared" si="75"/>
        <v>2.8080000000000003</v>
      </c>
      <c r="M89" s="40">
        <f t="shared" ref="M89:N91" si="76">G89*0.19</f>
        <v>1.0389873417721518</v>
      </c>
      <c r="N89" s="40">
        <f t="shared" si="76"/>
        <v>0.82080000000000009</v>
      </c>
      <c r="O89" s="40">
        <f>Q89*2.75</f>
        <v>5.5</v>
      </c>
      <c r="P89" s="40">
        <f>D89*4/12</f>
        <v>4</v>
      </c>
      <c r="Q89" s="40">
        <f>2*D89/12</f>
        <v>2</v>
      </c>
      <c r="R89" s="43">
        <f>D89*1/12</f>
        <v>1</v>
      </c>
      <c r="S89" s="43">
        <f>2*D89/12</f>
        <v>2</v>
      </c>
      <c r="T89" s="1037">
        <v>1</v>
      </c>
      <c r="U89" s="64">
        <f>ROUND(I89/$G89,2)</f>
        <v>0.6</v>
      </c>
      <c r="V89" s="64">
        <f>ROUND(K89/$G89,2)</f>
        <v>0.65</v>
      </c>
      <c r="W89" s="1038">
        <f>ROUND(M89/$G89,2)</f>
        <v>0.19</v>
      </c>
      <c r="X89" s="51">
        <f>ROUND(G89/D89,2)</f>
        <v>0.46</v>
      </c>
      <c r="Y89" s="51">
        <f>H89/D89</f>
        <v>0.36000000000000004</v>
      </c>
      <c r="Z89" s="24">
        <f>ROUND(O89/P89,2)</f>
        <v>1.38</v>
      </c>
      <c r="AA89" s="51">
        <f>ROUND(O89/Q89,2)</f>
        <v>2.75</v>
      </c>
      <c r="AB89" s="24">
        <f>80*0.88</f>
        <v>70.400000000000006</v>
      </c>
      <c r="AC89" s="50" t="s">
        <v>789</v>
      </c>
      <c r="AD89" s="40">
        <f t="shared" ref="AD89:AE94" si="77">I89*0.525</f>
        <v>1.7225316455696202</v>
      </c>
      <c r="AE89" s="1278">
        <f t="shared" si="77"/>
        <v>1.3608</v>
      </c>
      <c r="AF89" s="1278">
        <f t="shared" ref="AF89:AF94" si="78">G89*100/E89</f>
        <v>4.2064264849074968</v>
      </c>
      <c r="AG89" s="719">
        <v>43</v>
      </c>
      <c r="AH89" s="724">
        <v>340</v>
      </c>
      <c r="AI89" s="719">
        <v>55</v>
      </c>
      <c r="AN89" s="719">
        <v>11000</v>
      </c>
      <c r="AO89" s="719">
        <v>1800</v>
      </c>
      <c r="AP89" s="719">
        <v>60</v>
      </c>
      <c r="AQ89" s="1354">
        <v>176</v>
      </c>
      <c r="AS89" s="1354">
        <v>80</v>
      </c>
      <c r="AT89" s="1355">
        <v>200</v>
      </c>
      <c r="AU89" s="1355">
        <v>150</v>
      </c>
    </row>
    <row r="90" spans="1:47" ht="12.75" customHeight="1">
      <c r="A90" s="13" t="str">
        <f t="shared" si="73"/>
        <v>hochtragende Sauen und alternativ für Jungsauen</v>
      </c>
      <c r="B90" s="47">
        <f>IF(G90=""," ",COUNTA($G$11:G89))</f>
        <v>41</v>
      </c>
      <c r="C90" s="1050" t="s">
        <v>790</v>
      </c>
      <c r="D90" s="124">
        <v>12</v>
      </c>
      <c r="E90" s="125">
        <v>140</v>
      </c>
      <c r="F90" s="65">
        <f>E90*0.79</f>
        <v>110.60000000000001</v>
      </c>
      <c r="G90" s="40">
        <f>H90/0.79</f>
        <v>6.075949367088608</v>
      </c>
      <c r="H90" s="40">
        <f>D90*0.4</f>
        <v>4.8000000000000007</v>
      </c>
      <c r="I90" s="40">
        <f t="shared" si="74"/>
        <v>3.6455696202531644</v>
      </c>
      <c r="J90" s="43">
        <f t="shared" si="74"/>
        <v>2.8800000000000003</v>
      </c>
      <c r="K90" s="43">
        <f t="shared" si="75"/>
        <v>3.9493670886075956</v>
      </c>
      <c r="L90" s="43">
        <f t="shared" si="75"/>
        <v>3.1200000000000006</v>
      </c>
      <c r="M90" s="40">
        <f t="shared" si="76"/>
        <v>1.1544303797468356</v>
      </c>
      <c r="N90" s="40">
        <f t="shared" si="76"/>
        <v>0.91200000000000014</v>
      </c>
      <c r="O90" s="40">
        <f>Q90*2.75</f>
        <v>6.0500000000000007</v>
      </c>
      <c r="P90" s="40">
        <f>D90*4.5/12</f>
        <v>4.5</v>
      </c>
      <c r="Q90" s="40">
        <f>2.2*D90/12</f>
        <v>2.2000000000000002</v>
      </c>
      <c r="R90" s="43">
        <f>D90*1/12</f>
        <v>1</v>
      </c>
      <c r="S90" s="43">
        <f>2*D90/12</f>
        <v>2</v>
      </c>
      <c r="T90" s="1037">
        <v>1</v>
      </c>
      <c r="U90" s="64">
        <f>ROUND(I90/$G90,2)</f>
        <v>0.6</v>
      </c>
      <c r="V90" s="64">
        <f>ROUND(K90/$G90,2)</f>
        <v>0.65</v>
      </c>
      <c r="W90" s="1038">
        <f>ROUND(M90/$G90,2)</f>
        <v>0.19</v>
      </c>
      <c r="X90" s="51">
        <f>ROUND(G90/D90,2)</f>
        <v>0.51</v>
      </c>
      <c r="Y90" s="51">
        <f>H90/D90</f>
        <v>0.40000000000000008</v>
      </c>
      <c r="Z90" s="24">
        <f>ROUND(O90/P90,2)</f>
        <v>1.34</v>
      </c>
      <c r="AA90" s="51">
        <f>ROUND(O90/Q90,2)</f>
        <v>2.75</v>
      </c>
      <c r="AB90" s="24">
        <f>80*0.88</f>
        <v>70.400000000000006</v>
      </c>
      <c r="AC90" s="50" t="s">
        <v>789</v>
      </c>
      <c r="AD90" s="40">
        <f t="shared" si="77"/>
        <v>1.9139240506329114</v>
      </c>
      <c r="AE90" s="1278">
        <f t="shared" si="77"/>
        <v>1.5120000000000002</v>
      </c>
      <c r="AF90" s="1278">
        <f t="shared" si="78"/>
        <v>4.3399638336347204</v>
      </c>
      <c r="AG90" s="719">
        <v>43</v>
      </c>
      <c r="AH90" s="724">
        <v>340</v>
      </c>
      <c r="AI90" s="719">
        <v>55</v>
      </c>
      <c r="AN90" s="719">
        <v>11000</v>
      </c>
      <c r="AO90" s="719">
        <v>1800</v>
      </c>
      <c r="AP90" s="719">
        <v>60</v>
      </c>
      <c r="AQ90" s="1354">
        <v>176</v>
      </c>
      <c r="AS90" s="1354">
        <v>80</v>
      </c>
      <c r="AT90" s="1355">
        <v>200</v>
      </c>
      <c r="AU90" s="1355">
        <v>150</v>
      </c>
    </row>
    <row r="91" spans="1:47" ht="12.75" customHeight="1">
      <c r="A91" s="13" t="str">
        <f t="shared" si="73"/>
        <v>tragende Sauen</v>
      </c>
      <c r="B91" s="47">
        <f>IF(G91=""," ",COUNTA($G$11:G90))</f>
        <v>42</v>
      </c>
      <c r="C91" s="1050" t="s">
        <v>791</v>
      </c>
      <c r="D91" s="124">
        <v>12</v>
      </c>
      <c r="E91" s="125">
        <v>140</v>
      </c>
      <c r="F91" s="65">
        <f>E91*0.79</f>
        <v>110.60000000000001</v>
      </c>
      <c r="G91" s="40">
        <f>H91/0.79</f>
        <v>6.075949367088608</v>
      </c>
      <c r="H91" s="40">
        <f>D91*0.4</f>
        <v>4.8000000000000007</v>
      </c>
      <c r="I91" s="40">
        <f t="shared" si="74"/>
        <v>3.6455696202531644</v>
      </c>
      <c r="J91" s="43">
        <f t="shared" si="74"/>
        <v>2.8800000000000003</v>
      </c>
      <c r="K91" s="43">
        <f t="shared" si="75"/>
        <v>3.9493670886075956</v>
      </c>
      <c r="L91" s="43">
        <f t="shared" si="75"/>
        <v>3.1200000000000006</v>
      </c>
      <c r="M91" s="40">
        <f t="shared" si="76"/>
        <v>1.1544303797468356</v>
      </c>
      <c r="N91" s="40">
        <f t="shared" si="76"/>
        <v>0.91200000000000014</v>
      </c>
      <c r="O91" s="40">
        <f>Q91*2.75</f>
        <v>6.0500000000000007</v>
      </c>
      <c r="P91" s="40">
        <f>D91*4.5/12</f>
        <v>4.5</v>
      </c>
      <c r="Q91" s="40">
        <f>2.2*D91/12</f>
        <v>2.2000000000000002</v>
      </c>
      <c r="R91" s="43">
        <f>D91*1/12</f>
        <v>1</v>
      </c>
      <c r="S91" s="43">
        <f>2*D91/12</f>
        <v>2</v>
      </c>
      <c r="T91" s="1037">
        <v>1</v>
      </c>
      <c r="U91" s="64">
        <f>ROUND(I91/$G91,2)</f>
        <v>0.6</v>
      </c>
      <c r="V91" s="64">
        <f>ROUND(K91/$G91,2)</f>
        <v>0.65</v>
      </c>
      <c r="W91" s="1038">
        <f>ROUND(M91/$G91,2)</f>
        <v>0.19</v>
      </c>
      <c r="X91" s="51">
        <f>ROUND(G91/D91,2)</f>
        <v>0.51</v>
      </c>
      <c r="Y91" s="51">
        <f>H91/D91</f>
        <v>0.40000000000000008</v>
      </c>
      <c r="Z91" s="24">
        <f>ROUND(O91/P91,2)</f>
        <v>1.34</v>
      </c>
      <c r="AA91" s="51">
        <f>ROUND(O91/Q91,2)</f>
        <v>2.75</v>
      </c>
      <c r="AB91" s="24">
        <f>80*0.88</f>
        <v>70.400000000000006</v>
      </c>
      <c r="AC91" s="50" t="s">
        <v>789</v>
      </c>
      <c r="AD91" s="40">
        <f t="shared" si="77"/>
        <v>1.9139240506329114</v>
      </c>
      <c r="AE91" s="1278">
        <f t="shared" si="77"/>
        <v>1.5120000000000002</v>
      </c>
      <c r="AF91" s="1278">
        <f t="shared" si="78"/>
        <v>4.3399638336347204</v>
      </c>
      <c r="AG91" s="719">
        <v>43</v>
      </c>
      <c r="AH91" s="724">
        <v>340</v>
      </c>
      <c r="AI91" s="719">
        <v>55</v>
      </c>
      <c r="AN91" s="719">
        <v>11000</v>
      </c>
      <c r="AO91" s="719">
        <v>1800</v>
      </c>
      <c r="AP91" s="719">
        <v>60</v>
      </c>
      <c r="AQ91" s="1354">
        <v>176</v>
      </c>
      <c r="AS91" s="1354">
        <v>80</v>
      </c>
      <c r="AT91" s="1355">
        <v>200</v>
      </c>
      <c r="AU91" s="1355">
        <v>150</v>
      </c>
    </row>
    <row r="92" spans="1:47" ht="7.5" customHeight="1">
      <c r="A92" s="13" t="str">
        <f t="shared" si="73"/>
        <v/>
      </c>
      <c r="B92" s="47" t="str">
        <f>IF(G92=""," ",COUNTA($G$11:G91))</f>
        <v xml:space="preserve"> </v>
      </c>
      <c r="C92" s="1050"/>
      <c r="D92" s="40"/>
      <c r="E92" s="63"/>
      <c r="F92" s="65"/>
      <c r="G92" s="40"/>
      <c r="H92" s="40"/>
      <c r="I92" s="40"/>
      <c r="J92" s="43"/>
      <c r="K92" s="43"/>
      <c r="L92" s="43"/>
      <c r="M92" s="40"/>
      <c r="N92" s="40"/>
      <c r="O92" s="40"/>
      <c r="P92" s="40"/>
      <c r="Q92" s="40"/>
      <c r="R92" s="40"/>
      <c r="S92" s="40"/>
      <c r="T92" s="1037"/>
      <c r="U92" s="64"/>
      <c r="V92" s="64"/>
      <c r="W92" s="1038"/>
      <c r="X92" s="51"/>
      <c r="Y92" s="51"/>
      <c r="Z92" s="24"/>
      <c r="AA92" s="51"/>
      <c r="AD92" s="40"/>
      <c r="AE92" s="1278"/>
      <c r="AF92" s="1278"/>
      <c r="AH92" s="724"/>
      <c r="AS92" s="24"/>
      <c r="AT92" s="24"/>
      <c r="AU92" s="24"/>
    </row>
    <row r="93" spans="1:47" ht="12.75" customHeight="1">
      <c r="A93" s="13" t="str">
        <f t="shared" si="73"/>
        <v>säugende Sauen  16,5 % RP</v>
      </c>
      <c r="B93" s="47">
        <f>IF(G93=""," ",COUNTA($G$11:G92))</f>
        <v>43</v>
      </c>
      <c r="C93" s="1279" t="str">
        <f>"säugende Sauen "&amp;" "&amp;E93/10&amp;" "&amp;"% RP"</f>
        <v>säugende Sauen  16,5 % RP</v>
      </c>
      <c r="D93" s="124">
        <v>13</v>
      </c>
      <c r="E93" s="125">
        <f>ROUND(165*D93/13,1)</f>
        <v>165</v>
      </c>
      <c r="F93" s="65">
        <f>E93*0.85</f>
        <v>140.25</v>
      </c>
      <c r="G93" s="40">
        <f>H93/0.85</f>
        <v>9.1764705882352935</v>
      </c>
      <c r="H93" s="40">
        <f>D93*0.6</f>
        <v>7.8</v>
      </c>
      <c r="I93" s="40">
        <f>G93*0.6</f>
        <v>5.5058823529411756</v>
      </c>
      <c r="J93" s="43">
        <f>H93*0.6</f>
        <v>4.68</v>
      </c>
      <c r="K93" s="43">
        <f>G93*0.65</f>
        <v>5.9647058823529413</v>
      </c>
      <c r="L93" s="43">
        <f>H93*0.65</f>
        <v>5.07</v>
      </c>
      <c r="M93" s="40">
        <f>G93*0.19</f>
        <v>1.7435294117647058</v>
      </c>
      <c r="N93" s="40">
        <f>H93*0.19</f>
        <v>1.482</v>
      </c>
      <c r="O93" s="40">
        <f>7.5*D93/13</f>
        <v>7.5</v>
      </c>
      <c r="P93" s="40">
        <f>5.5*D93/13</f>
        <v>5.5</v>
      </c>
      <c r="Q93" s="40">
        <f>3.3*D93/13</f>
        <v>3.3</v>
      </c>
      <c r="R93" s="43">
        <f>D93*1/13</f>
        <v>1</v>
      </c>
      <c r="S93" s="43">
        <f>2*D93/13</f>
        <v>2</v>
      </c>
      <c r="T93" s="1037">
        <v>1</v>
      </c>
      <c r="U93" s="64">
        <f>ROUND(I93/$G93,2)</f>
        <v>0.6</v>
      </c>
      <c r="V93" s="64">
        <f>ROUND(K93/$G93,2)</f>
        <v>0.65</v>
      </c>
      <c r="W93" s="1038">
        <f>ROUND(M93/$G93,2)</f>
        <v>0.19</v>
      </c>
      <c r="X93" s="51">
        <f>ROUND(G93/D93,2)</f>
        <v>0.71</v>
      </c>
      <c r="Y93" s="51">
        <f>H93/D93</f>
        <v>0.6</v>
      </c>
      <c r="Z93" s="24">
        <f>ROUND(O93/P93,2)</f>
        <v>1.36</v>
      </c>
      <c r="AA93" s="51">
        <f>ROUND(O93/Q93,2)</f>
        <v>2.27</v>
      </c>
      <c r="AB93" s="153">
        <v>55.4</v>
      </c>
      <c r="AC93" s="50" t="s">
        <v>792</v>
      </c>
      <c r="AD93" s="40">
        <f t="shared" si="77"/>
        <v>2.8905882352941172</v>
      </c>
      <c r="AE93" s="1278">
        <f t="shared" si="77"/>
        <v>2.4569999999999999</v>
      </c>
      <c r="AF93" s="1278">
        <f t="shared" si="78"/>
        <v>5.5614973262032086</v>
      </c>
      <c r="AG93" s="719">
        <v>55</v>
      </c>
      <c r="AH93" s="724">
        <v>375</v>
      </c>
      <c r="AI93" s="719">
        <v>60</v>
      </c>
      <c r="AN93" s="719">
        <v>11000</v>
      </c>
      <c r="AO93" s="719">
        <v>1800</v>
      </c>
      <c r="AP93" s="719">
        <v>60</v>
      </c>
      <c r="AQ93" s="1354">
        <v>176</v>
      </c>
      <c r="AS93" s="1354">
        <v>70</v>
      </c>
      <c r="AT93" s="1355">
        <v>160</v>
      </c>
      <c r="AU93" s="1355">
        <v>120</v>
      </c>
    </row>
    <row r="94" spans="1:47" ht="12.75" customHeight="1">
      <c r="A94" s="13" t="str">
        <f t="shared" si="73"/>
        <v>säugende Sauen  17,5 % RP</v>
      </c>
      <c r="B94" s="47">
        <f>IF(G94=""," ",COUNTA($G$11:G93))</f>
        <v>44</v>
      </c>
      <c r="C94" s="1280" t="str">
        <f>"säugende Sauen "&amp;" "&amp;E94/10&amp;" "&amp;"% RP"</f>
        <v>säugende Sauen  17,5 % RP</v>
      </c>
      <c r="D94" s="44">
        <v>13.4</v>
      </c>
      <c r="E94" s="1263">
        <v>175</v>
      </c>
      <c r="F94" s="68">
        <f>E94*0.85</f>
        <v>148.75</v>
      </c>
      <c r="G94" s="44">
        <f>H94/0.85</f>
        <v>9.4588235294117631</v>
      </c>
      <c r="H94" s="44">
        <f>D94*0.6</f>
        <v>8.0399999999999991</v>
      </c>
      <c r="I94" s="44">
        <f>G94*0.6</f>
        <v>5.6752941176470575</v>
      </c>
      <c r="J94" s="44">
        <f>H94*0.6</f>
        <v>4.823999999999999</v>
      </c>
      <c r="K94" s="44">
        <f>G94*0.65</f>
        <v>6.1482352941176464</v>
      </c>
      <c r="L94" s="44">
        <f>H94*0.65</f>
        <v>5.226</v>
      </c>
      <c r="M94" s="44">
        <f>G94*0.19</f>
        <v>1.7971764705882349</v>
      </c>
      <c r="N94" s="44">
        <f>H94*0.19</f>
        <v>1.5275999999999998</v>
      </c>
      <c r="O94" s="44">
        <f>7.5*D94/13</f>
        <v>7.7307692307692308</v>
      </c>
      <c r="P94" s="44">
        <f>5.5*D94/13</f>
        <v>5.6692307692307695</v>
      </c>
      <c r="Q94" s="44">
        <f>3.3*D94/13</f>
        <v>3.4015384615384616</v>
      </c>
      <c r="R94" s="44">
        <f>D94*1/13</f>
        <v>1.0307692307692309</v>
      </c>
      <c r="S94" s="44">
        <f>2*D94/13</f>
        <v>2.0615384615384618</v>
      </c>
      <c r="T94" s="1281">
        <v>1</v>
      </c>
      <c r="U94" s="69">
        <f>ROUND(I94/$G94,2)</f>
        <v>0.6</v>
      </c>
      <c r="V94" s="69">
        <f>ROUND(K94/$G94,2)</f>
        <v>0.65</v>
      </c>
      <c r="W94" s="1041">
        <f>ROUND(M94/$G94,2)</f>
        <v>0.19</v>
      </c>
      <c r="X94" s="69">
        <f>ROUND(G94/D94,2)</f>
        <v>0.71</v>
      </c>
      <c r="Y94" s="69">
        <f>H94/D94</f>
        <v>0.59999999999999987</v>
      </c>
      <c r="Z94" s="209">
        <f>ROUND(O94/P94,2)</f>
        <v>1.36</v>
      </c>
      <c r="AA94" s="69">
        <f>ROUND(O94/Q94,2)</f>
        <v>2.27</v>
      </c>
      <c r="AB94" s="156">
        <v>55.4</v>
      </c>
      <c r="AC94" s="160" t="s">
        <v>792</v>
      </c>
      <c r="AD94" s="44">
        <f t="shared" si="77"/>
        <v>2.9795294117647053</v>
      </c>
      <c r="AE94" s="1282">
        <f t="shared" si="77"/>
        <v>2.5325999999999995</v>
      </c>
      <c r="AF94" s="1282">
        <f t="shared" si="78"/>
        <v>5.4050420168067221</v>
      </c>
      <c r="AG94" s="719">
        <v>55</v>
      </c>
      <c r="AH94" s="724">
        <v>375</v>
      </c>
      <c r="AI94" s="719">
        <v>60</v>
      </c>
      <c r="AN94" s="719">
        <v>11000</v>
      </c>
      <c r="AO94" s="719">
        <v>1800</v>
      </c>
      <c r="AP94" s="719">
        <v>60</v>
      </c>
      <c r="AQ94" s="1354">
        <v>176</v>
      </c>
      <c r="AS94" s="1354">
        <v>70</v>
      </c>
      <c r="AT94" s="1355">
        <v>160</v>
      </c>
      <c r="AU94" s="1355">
        <v>120</v>
      </c>
    </row>
    <row r="95" spans="1:47" ht="7.5" customHeight="1">
      <c r="B95" s="47"/>
      <c r="C95" s="1046"/>
      <c r="D95" s="65"/>
      <c r="E95" s="43"/>
      <c r="F95" s="65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1037"/>
      <c r="U95" s="64"/>
      <c r="V95" s="64"/>
      <c r="W95" s="1038"/>
      <c r="X95" s="64"/>
      <c r="Y95" s="64"/>
      <c r="Z95" s="35"/>
      <c r="AA95" s="64"/>
      <c r="AB95" s="1047"/>
      <c r="AC95" s="1047"/>
      <c r="AD95" s="43"/>
      <c r="AE95" s="726"/>
      <c r="AF95" s="726"/>
      <c r="AH95" s="724"/>
    </row>
    <row r="96" spans="1:47">
      <c r="A96" s="13" t="str">
        <f t="shared" si="0"/>
        <v>Jungsauen</v>
      </c>
      <c r="B96" s="47"/>
      <c r="C96" s="533" t="s">
        <v>433</v>
      </c>
      <c r="D96" s="43"/>
      <c r="E96" s="531"/>
      <c r="F96" s="65"/>
      <c r="G96" s="40"/>
      <c r="H96" s="40"/>
      <c r="I96" s="40"/>
      <c r="J96" s="43"/>
      <c r="K96" s="43"/>
      <c r="L96" s="43"/>
      <c r="M96" s="40"/>
      <c r="N96" s="40"/>
      <c r="O96" s="40"/>
      <c r="P96" s="40"/>
      <c r="Q96" s="40"/>
      <c r="R96" s="43"/>
      <c r="S96" s="43"/>
      <c r="T96" s="1037"/>
      <c r="U96" s="64"/>
      <c r="V96" s="64"/>
      <c r="W96" s="1038"/>
      <c r="X96" s="64"/>
      <c r="Y96" s="64"/>
      <c r="Z96" s="35"/>
      <c r="AA96" s="64"/>
      <c r="AB96" s="526"/>
      <c r="AC96" s="161"/>
      <c r="AD96" s="40"/>
      <c r="AE96" s="714"/>
      <c r="AF96" s="714"/>
      <c r="AH96" s="724"/>
    </row>
    <row r="97" spans="1:46" ht="7.5" customHeight="1">
      <c r="B97" s="47"/>
      <c r="C97" s="533"/>
      <c r="D97" s="43"/>
      <c r="E97" s="531"/>
      <c r="F97" s="65"/>
      <c r="G97" s="40"/>
      <c r="H97" s="40"/>
      <c r="I97" s="40"/>
      <c r="J97" s="43"/>
      <c r="K97" s="43"/>
      <c r="L97" s="43"/>
      <c r="M97" s="40"/>
      <c r="N97" s="40"/>
      <c r="O97" s="40"/>
      <c r="P97" s="40"/>
      <c r="Q97" s="40"/>
      <c r="R97" s="43"/>
      <c r="S97" s="43"/>
      <c r="T97" s="1037"/>
      <c r="U97" s="64"/>
      <c r="V97" s="64"/>
      <c r="W97" s="1038"/>
      <c r="X97" s="64"/>
      <c r="Y97" s="64"/>
      <c r="Z97" s="35"/>
      <c r="AA97" s="64"/>
      <c r="AB97" s="526"/>
      <c r="AC97" s="161"/>
      <c r="AD97" s="40"/>
      <c r="AE97" s="714"/>
      <c r="AF97" s="714"/>
      <c r="AH97" s="724"/>
    </row>
    <row r="98" spans="1:46" ht="12.75" customHeight="1">
      <c r="A98" s="13" t="str">
        <f t="shared" si="0"/>
        <v>Aufzuchtphase</v>
      </c>
      <c r="B98" s="47" t="str">
        <f>IF(G98=""," ",COUNTA($G$11:G75))</f>
        <v xml:space="preserve"> </v>
      </c>
      <c r="C98" s="527" t="s">
        <v>434</v>
      </c>
      <c r="D98" s="40"/>
      <c r="E98" s="63"/>
      <c r="F98" s="65"/>
      <c r="G98" s="40"/>
      <c r="H98" s="40"/>
      <c r="I98" s="43"/>
      <c r="J98" s="43"/>
      <c r="K98" s="43"/>
      <c r="L98" s="43"/>
      <c r="M98" s="40"/>
      <c r="N98" s="40"/>
      <c r="O98" s="40"/>
      <c r="P98" s="40"/>
      <c r="R98" s="40"/>
      <c r="S98" s="40"/>
      <c r="T98" s="1037"/>
      <c r="U98" s="64"/>
      <c r="V98" s="64"/>
      <c r="W98" s="1038"/>
      <c r="X98" s="51"/>
      <c r="Y98" s="51"/>
      <c r="Z98" s="24"/>
      <c r="AA98" s="51"/>
      <c r="AD98" s="40"/>
      <c r="AE98" s="714"/>
      <c r="AF98" s="714"/>
      <c r="AH98" s="724"/>
    </row>
    <row r="99" spans="1:46" ht="12.75" customHeight="1">
      <c r="A99" s="13" t="str">
        <f t="shared" si="0"/>
        <v>Jungsauen 30 - 40 kg LM für 600 g TZ</v>
      </c>
      <c r="B99" s="47">
        <f>IF(G99=""," ",COUNTA($G$11:G98))</f>
        <v>45</v>
      </c>
      <c r="C99" s="45" t="s">
        <v>570</v>
      </c>
      <c r="D99" s="124">
        <v>13</v>
      </c>
      <c r="E99" s="125">
        <f>170*D99/13</f>
        <v>170</v>
      </c>
      <c r="F99" s="65">
        <f>E99*0.88</f>
        <v>149.6</v>
      </c>
      <c r="G99" s="43">
        <f>H99/0.88</f>
        <v>9.8977272727272734</v>
      </c>
      <c r="H99" s="40">
        <f>D99*0.67</f>
        <v>8.7100000000000009</v>
      </c>
      <c r="I99" s="40">
        <f t="shared" ref="I99:J101" si="79">G99*0.56</f>
        <v>5.5427272727272738</v>
      </c>
      <c r="J99" s="43">
        <f t="shared" si="79"/>
        <v>4.877600000000001</v>
      </c>
      <c r="K99" s="43">
        <f t="shared" ref="K99:L101" si="80">G99*0.65</f>
        <v>6.4335227272727282</v>
      </c>
      <c r="L99" s="43">
        <f t="shared" si="80"/>
        <v>5.6615000000000011</v>
      </c>
      <c r="M99" s="40">
        <f t="shared" ref="M99:N101" si="81">G99*0.18</f>
        <v>1.7815909090909092</v>
      </c>
      <c r="N99" s="40">
        <f t="shared" si="81"/>
        <v>1.5678000000000001</v>
      </c>
      <c r="O99" s="40">
        <f>8*D99/13</f>
        <v>8</v>
      </c>
      <c r="P99" s="40">
        <f>O99/1.33</f>
        <v>6.0150375939849621</v>
      </c>
      <c r="Q99" s="40">
        <f>O99/2.65</f>
        <v>3.0188679245283021</v>
      </c>
      <c r="R99" s="43">
        <f>D99*1/13</f>
        <v>1</v>
      </c>
      <c r="S99" s="43">
        <f>2*D99/13</f>
        <v>2</v>
      </c>
      <c r="T99" s="1037">
        <v>1</v>
      </c>
      <c r="U99" s="64">
        <f>ROUND(I99/$G99,2)</f>
        <v>0.56000000000000005</v>
      </c>
      <c r="V99" s="64">
        <f>ROUND(K99/$G99,2)</f>
        <v>0.65</v>
      </c>
      <c r="W99" s="1038">
        <f>ROUND(M99/$G99,2)</f>
        <v>0.18</v>
      </c>
      <c r="X99" s="51">
        <f>ROUND(G99/D99,2)</f>
        <v>0.76</v>
      </c>
      <c r="Y99" s="51">
        <f>H99/D99</f>
        <v>0.67</v>
      </c>
      <c r="Z99" s="51">
        <f>ROUND(O99/P99,2)</f>
        <v>1.33</v>
      </c>
      <c r="AA99" s="51">
        <f>ROUND(O99/Q99,2)</f>
        <v>2.65</v>
      </c>
      <c r="AB99" s="154">
        <v>44</v>
      </c>
      <c r="AC99" s="159" t="s">
        <v>574</v>
      </c>
      <c r="AD99" s="40">
        <f t="shared" ref="AD99:AE101" si="82">I99*0.525</f>
        <v>2.909931818181819</v>
      </c>
      <c r="AE99" s="714">
        <f t="shared" si="82"/>
        <v>2.5607400000000005</v>
      </c>
      <c r="AF99" s="714">
        <f>G99*100/E99</f>
        <v>5.8221925133689849</v>
      </c>
      <c r="AH99" s="724"/>
      <c r="AN99" s="719">
        <v>6000</v>
      </c>
      <c r="AO99" s="719">
        <v>1500</v>
      </c>
      <c r="AP99" s="719">
        <v>60</v>
      </c>
      <c r="AS99" s="1354">
        <v>70</v>
      </c>
      <c r="AT99" s="1355">
        <v>120</v>
      </c>
    </row>
    <row r="100" spans="1:46">
      <c r="A100" s="13" t="str">
        <f t="shared" si="0"/>
        <v>Jungsauen 40 - 70 kg LM für 680 g TZ</v>
      </c>
      <c r="B100" s="47">
        <f>IF(G100=""," ",COUNTA($G$11:G99))</f>
        <v>46</v>
      </c>
      <c r="C100" s="45" t="s">
        <v>571</v>
      </c>
      <c r="D100" s="124">
        <v>13</v>
      </c>
      <c r="E100" s="125">
        <f>160*D100/13</f>
        <v>160</v>
      </c>
      <c r="F100" s="65">
        <f>E100*0.87</f>
        <v>139.19999999999999</v>
      </c>
      <c r="G100" s="43">
        <f>H100/0.87</f>
        <v>9.4885057471264371</v>
      </c>
      <c r="H100" s="40">
        <f>D100*0.635</f>
        <v>8.2550000000000008</v>
      </c>
      <c r="I100" s="40">
        <f t="shared" si="79"/>
        <v>5.3135632183908053</v>
      </c>
      <c r="J100" s="43">
        <f t="shared" si="79"/>
        <v>4.6228000000000007</v>
      </c>
      <c r="K100" s="43">
        <f t="shared" si="80"/>
        <v>6.1675287356321844</v>
      </c>
      <c r="L100" s="43">
        <f t="shared" si="80"/>
        <v>5.3657500000000011</v>
      </c>
      <c r="M100" s="40">
        <f t="shared" si="81"/>
        <v>1.7079310344827585</v>
      </c>
      <c r="N100" s="40">
        <f t="shared" si="81"/>
        <v>1.4859</v>
      </c>
      <c r="O100" s="40">
        <f>7*D100/13</f>
        <v>7</v>
      </c>
      <c r="P100" s="40">
        <f>O100/1.28</f>
        <v>5.46875</v>
      </c>
      <c r="Q100" s="40">
        <f>O100/2.55</f>
        <v>2.7450980392156863</v>
      </c>
      <c r="R100" s="43">
        <f>D100*1/13</f>
        <v>1</v>
      </c>
      <c r="S100" s="43">
        <f>2*D100/13</f>
        <v>2</v>
      </c>
      <c r="T100" s="1037">
        <v>1</v>
      </c>
      <c r="U100" s="64">
        <f>ROUND(I100/$G100,2)</f>
        <v>0.56000000000000005</v>
      </c>
      <c r="V100" s="64">
        <f>ROUND(K100/$G100,2)</f>
        <v>0.65</v>
      </c>
      <c r="W100" s="1038">
        <f>ROUND(M100/$G100,2)</f>
        <v>0.18</v>
      </c>
      <c r="X100" s="51">
        <f>ROUND(G100/D100,2)</f>
        <v>0.73</v>
      </c>
      <c r="Y100" s="51">
        <f>H100/D100</f>
        <v>0.63500000000000001</v>
      </c>
      <c r="Z100" s="24">
        <f>ROUND(O100/P100,2)</f>
        <v>1.28</v>
      </c>
      <c r="AA100" s="51">
        <f>ROUND(O100/Q100,2)</f>
        <v>2.5499999999999998</v>
      </c>
      <c r="AB100" s="154">
        <v>44</v>
      </c>
      <c r="AC100" s="159" t="s">
        <v>319</v>
      </c>
      <c r="AD100" s="40">
        <f t="shared" si="82"/>
        <v>2.7896206896551727</v>
      </c>
      <c r="AE100" s="714">
        <f t="shared" si="82"/>
        <v>2.4269700000000003</v>
      </c>
      <c r="AF100" s="714">
        <f>G100*100/E100</f>
        <v>5.9303160919540234</v>
      </c>
      <c r="AH100" s="724"/>
      <c r="AN100" s="719">
        <v>6000</v>
      </c>
      <c r="AO100" s="719">
        <v>1500</v>
      </c>
      <c r="AP100" s="719">
        <v>60</v>
      </c>
      <c r="AS100" s="1354">
        <v>70</v>
      </c>
      <c r="AT100" s="1355">
        <v>120</v>
      </c>
    </row>
    <row r="101" spans="1:46">
      <c r="A101" s="13" t="str">
        <f t="shared" si="0"/>
        <v>Jungsauen 70 - 95 kg LM für 700 g TZ</v>
      </c>
      <c r="B101" s="47">
        <f>IF(G101=""," ",COUNTA($G$11:G100))</f>
        <v>47</v>
      </c>
      <c r="C101" s="45" t="s">
        <v>572</v>
      </c>
      <c r="D101" s="124">
        <v>13</v>
      </c>
      <c r="E101" s="125">
        <f>150*D101/13</f>
        <v>150</v>
      </c>
      <c r="F101" s="65">
        <f>E101*0.86</f>
        <v>129</v>
      </c>
      <c r="G101" s="43">
        <f>H101/0.86</f>
        <v>8.4651162790697683</v>
      </c>
      <c r="H101" s="40">
        <f>D101*0.56</f>
        <v>7.2800000000000011</v>
      </c>
      <c r="I101" s="40">
        <f t="shared" si="79"/>
        <v>4.7404651162790703</v>
      </c>
      <c r="J101" s="43">
        <f t="shared" si="79"/>
        <v>4.0768000000000013</v>
      </c>
      <c r="K101" s="43">
        <f t="shared" si="80"/>
        <v>5.5023255813953496</v>
      </c>
      <c r="L101" s="43">
        <f t="shared" si="80"/>
        <v>4.7320000000000011</v>
      </c>
      <c r="M101" s="40">
        <f t="shared" si="81"/>
        <v>1.5237209302325583</v>
      </c>
      <c r="N101" s="40">
        <f t="shared" si="81"/>
        <v>1.3104000000000002</v>
      </c>
      <c r="O101" s="40">
        <f>6*D101/13</f>
        <v>6</v>
      </c>
      <c r="P101" s="40">
        <f>O101/1.2</f>
        <v>5</v>
      </c>
      <c r="Q101" s="40">
        <f>O101/2.4</f>
        <v>2.5</v>
      </c>
      <c r="R101" s="43">
        <f>D101*1/13</f>
        <v>1</v>
      </c>
      <c r="S101" s="43">
        <f>2*D101/13</f>
        <v>2</v>
      </c>
      <c r="T101" s="1037">
        <v>1</v>
      </c>
      <c r="U101" s="64">
        <f>ROUND(I101/$G101,2)</f>
        <v>0.56000000000000005</v>
      </c>
      <c r="V101" s="64">
        <f>ROUND(K101/$G101,2)</f>
        <v>0.65</v>
      </c>
      <c r="W101" s="1038">
        <f>ROUND(M101/$G101,2)</f>
        <v>0.18</v>
      </c>
      <c r="X101" s="51">
        <f>ROUND(G101/D101,2)</f>
        <v>0.65</v>
      </c>
      <c r="Y101" s="51">
        <f>H101/D101</f>
        <v>0.56000000000000005</v>
      </c>
      <c r="Z101" s="51">
        <f>ROUND(O101/P101,2)</f>
        <v>1.2</v>
      </c>
      <c r="AA101" s="51">
        <f>ROUND(O101/Q101,2)</f>
        <v>2.4</v>
      </c>
      <c r="AB101" s="153">
        <v>45</v>
      </c>
      <c r="AC101" s="159" t="s">
        <v>314</v>
      </c>
      <c r="AD101" s="40">
        <f t="shared" si="82"/>
        <v>2.488744186046512</v>
      </c>
      <c r="AE101" s="714">
        <f t="shared" si="82"/>
        <v>2.1403200000000009</v>
      </c>
      <c r="AF101" s="714">
        <f>G101*100/E101</f>
        <v>5.6434108527131794</v>
      </c>
      <c r="AH101" s="724"/>
      <c r="AN101" s="719">
        <v>6000</v>
      </c>
      <c r="AO101" s="719">
        <v>1500</v>
      </c>
      <c r="AP101" s="719">
        <v>60</v>
      </c>
      <c r="AS101" s="1354">
        <v>70</v>
      </c>
      <c r="AT101" s="1355">
        <v>120</v>
      </c>
    </row>
    <row r="102" spans="1:46" ht="7.5" customHeight="1">
      <c r="B102" s="47"/>
      <c r="C102" s="45"/>
      <c r="D102" s="65"/>
      <c r="E102" s="43"/>
      <c r="F102" s="65"/>
      <c r="G102" s="43"/>
      <c r="H102" s="40"/>
      <c r="I102" s="40"/>
      <c r="J102" s="43"/>
      <c r="K102" s="43"/>
      <c r="L102" s="43"/>
      <c r="M102" s="40"/>
      <c r="N102" s="40"/>
      <c r="O102" s="40"/>
      <c r="P102" s="40"/>
      <c r="Q102" s="40"/>
      <c r="R102" s="43"/>
      <c r="S102" s="43"/>
      <c r="T102" s="1037"/>
      <c r="U102" s="64"/>
      <c r="V102" s="64"/>
      <c r="W102" s="1038"/>
      <c r="X102" s="51"/>
      <c r="Y102" s="51"/>
      <c r="Z102" s="51"/>
      <c r="AA102" s="51"/>
      <c r="AB102" s="1047"/>
      <c r="AC102" s="159"/>
      <c r="AD102" s="40"/>
      <c r="AE102" s="714"/>
      <c r="AF102" s="714"/>
      <c r="AH102" s="724"/>
    </row>
    <row r="103" spans="1:46" ht="12.75" customHeight="1">
      <c r="A103" s="13" t="str">
        <f t="shared" si="0"/>
        <v>Eingliederungsphase</v>
      </c>
      <c r="B103" s="47" t="str">
        <f>IF(G103=""," ",COUNTA($G$11:G101))</f>
        <v xml:space="preserve"> </v>
      </c>
      <c r="C103" s="532" t="s">
        <v>432</v>
      </c>
      <c r="D103" s="530"/>
      <c r="E103" s="712"/>
      <c r="F103" s="65"/>
      <c r="G103" s="40"/>
      <c r="H103" s="40"/>
      <c r="I103" s="40"/>
      <c r="J103" s="43"/>
      <c r="K103" s="43"/>
      <c r="L103" s="43"/>
      <c r="M103" s="40"/>
      <c r="N103" s="40"/>
      <c r="O103" s="40"/>
      <c r="P103" s="40"/>
      <c r="Q103" s="40"/>
      <c r="R103" s="43"/>
      <c r="S103" s="43"/>
      <c r="T103" s="1037"/>
      <c r="U103" s="64"/>
      <c r="V103" s="64"/>
      <c r="W103" s="1038"/>
      <c r="X103" s="51"/>
      <c r="Y103" s="51"/>
      <c r="Z103" s="51"/>
      <c r="AA103" s="51"/>
      <c r="AD103" s="40"/>
      <c r="AE103" s="714"/>
      <c r="AF103" s="714"/>
      <c r="AH103" s="724"/>
    </row>
    <row r="104" spans="1:46">
      <c r="A104" s="13" t="str">
        <f t="shared" ref="A104:A117" si="83">IF(C104="","",C104)</f>
        <v>Jungsauen 95 - 120 kg LM für 700 g TZ</v>
      </c>
      <c r="B104" s="47">
        <f>IF(G104=""," ",COUNTA($G$11:G103))</f>
        <v>48</v>
      </c>
      <c r="C104" s="45" t="s">
        <v>438</v>
      </c>
      <c r="D104" s="124">
        <v>13</v>
      </c>
      <c r="E104" s="125">
        <f>140*D104/13</f>
        <v>140</v>
      </c>
      <c r="F104" s="65">
        <f>E104*0.8</f>
        <v>112</v>
      </c>
      <c r="G104" s="43">
        <f>H104/0.8</f>
        <v>6.5</v>
      </c>
      <c r="H104" s="40">
        <f>D104*0.4</f>
        <v>5.2</v>
      </c>
      <c r="I104" s="40">
        <f>G104*0.56</f>
        <v>3.6400000000000006</v>
      </c>
      <c r="J104" s="43">
        <f>H104*0.56</f>
        <v>2.9120000000000004</v>
      </c>
      <c r="K104" s="43">
        <f>G104*0.65</f>
        <v>4.2250000000000005</v>
      </c>
      <c r="L104" s="43">
        <f>H104*0.65</f>
        <v>3.3800000000000003</v>
      </c>
      <c r="M104" s="40">
        <f>G104*0.18</f>
        <v>1.17</v>
      </c>
      <c r="N104" s="40">
        <f>H104*0.18</f>
        <v>0.93599999999999994</v>
      </c>
      <c r="O104" s="40">
        <f>6*D104/13</f>
        <v>6</v>
      </c>
      <c r="P104" s="40">
        <f>O104/1.2</f>
        <v>5</v>
      </c>
      <c r="Q104" s="40">
        <f>O104/2.4</f>
        <v>2.5</v>
      </c>
      <c r="R104" s="43">
        <f>D104*1/13</f>
        <v>1</v>
      </c>
      <c r="S104" s="43">
        <f>2*D104/13</f>
        <v>2</v>
      </c>
      <c r="T104" s="1037">
        <v>1</v>
      </c>
      <c r="U104" s="64">
        <f>ROUND(I104/$G104,2)</f>
        <v>0.56000000000000005</v>
      </c>
      <c r="V104" s="64">
        <f>ROUND(K104/$G104,2)</f>
        <v>0.65</v>
      </c>
      <c r="W104" s="1038">
        <f>ROUND(M104/$G104,2)</f>
        <v>0.18</v>
      </c>
      <c r="X104" s="51">
        <f>ROUND(G104/D104,2)</f>
        <v>0.5</v>
      </c>
      <c r="Y104" s="51">
        <f>H104/D104</f>
        <v>0.4</v>
      </c>
      <c r="Z104" s="51">
        <f>ROUND(O104/P104,2)</f>
        <v>1.2</v>
      </c>
      <c r="AA104" s="51">
        <f>ROUND(O104/Q104,2)</f>
        <v>2.4</v>
      </c>
      <c r="AB104" s="153">
        <v>45</v>
      </c>
      <c r="AC104" s="159" t="s">
        <v>439</v>
      </c>
      <c r="AD104" s="40">
        <f>I104*0.525</f>
        <v>1.9110000000000005</v>
      </c>
      <c r="AE104" s="714">
        <f>J104*0.525</f>
        <v>1.5288000000000002</v>
      </c>
      <c r="AF104" s="714">
        <f>G104*100/E104</f>
        <v>4.6428571428571432</v>
      </c>
      <c r="AH104" s="724"/>
      <c r="AN104" s="719">
        <v>11000</v>
      </c>
      <c r="AO104" s="719">
        <v>1800</v>
      </c>
      <c r="AP104" s="719">
        <v>60</v>
      </c>
      <c r="AQ104" s="1354">
        <v>176</v>
      </c>
      <c r="AS104" s="1354">
        <v>70</v>
      </c>
      <c r="AT104" s="1355">
        <v>120</v>
      </c>
    </row>
    <row r="105" spans="1:46" ht="13" thickBot="1">
      <c r="A105" s="13" t="str">
        <f t="shared" si="83"/>
        <v>Jungsauen 120 - 140 kg LM für 725 g TZ</v>
      </c>
      <c r="B105" s="47">
        <f>IF(G105=""," ",COUNTA($G$11:G104))</f>
        <v>49</v>
      </c>
      <c r="C105" s="1044" t="s">
        <v>573</v>
      </c>
      <c r="D105" s="1043">
        <v>13</v>
      </c>
      <c r="E105" s="1045">
        <f>130*D105/13</f>
        <v>130</v>
      </c>
      <c r="F105" s="66">
        <f>E105*0.8</f>
        <v>104</v>
      </c>
      <c r="G105" s="42">
        <f>H105/0.8</f>
        <v>5.7687499999999998</v>
      </c>
      <c r="H105" s="42">
        <f>D105*0.355</f>
        <v>4.6150000000000002</v>
      </c>
      <c r="I105" s="42">
        <f>G105*0.56</f>
        <v>3.2305000000000001</v>
      </c>
      <c r="J105" s="42">
        <f>H105*0.56</f>
        <v>2.5844000000000005</v>
      </c>
      <c r="K105" s="42">
        <f>G105*0.65</f>
        <v>3.7496874999999998</v>
      </c>
      <c r="L105" s="42">
        <f>H105*0.65</f>
        <v>2.9997500000000001</v>
      </c>
      <c r="M105" s="42">
        <f>G105*0.18</f>
        <v>1.0383749999999998</v>
      </c>
      <c r="N105" s="42">
        <f>H105*0.18</f>
        <v>0.83069999999999999</v>
      </c>
      <c r="O105" s="42">
        <f>6*D105/13</f>
        <v>6</v>
      </c>
      <c r="P105" s="42">
        <f>O105/1.2</f>
        <v>5</v>
      </c>
      <c r="Q105" s="42">
        <f>O105/2.4</f>
        <v>2.5</v>
      </c>
      <c r="R105" s="42">
        <f>D105*1/13</f>
        <v>1</v>
      </c>
      <c r="S105" s="42">
        <f>2*D105/13</f>
        <v>2</v>
      </c>
      <c r="T105" s="1039">
        <v>1</v>
      </c>
      <c r="U105" s="52">
        <f>ROUND(I105/$G105,2)</f>
        <v>0.56000000000000005</v>
      </c>
      <c r="V105" s="52">
        <f>ROUND(K105/$G105,2)</f>
        <v>0.65</v>
      </c>
      <c r="W105" s="1040">
        <f>ROUND(M105/$G105,2)</f>
        <v>0.18</v>
      </c>
      <c r="X105" s="52">
        <f>ROUND(G105/D105,2)</f>
        <v>0.44</v>
      </c>
      <c r="Y105" s="52">
        <f>H105/D105</f>
        <v>0.35500000000000004</v>
      </c>
      <c r="Z105" s="52">
        <f>ROUND(O105/P105,2)</f>
        <v>1.2</v>
      </c>
      <c r="AA105" s="52">
        <f>ROUND(O105/Q105,2)</f>
        <v>2.4</v>
      </c>
      <c r="AB105" s="155">
        <v>45</v>
      </c>
      <c r="AC105" s="158" t="s">
        <v>439</v>
      </c>
      <c r="AD105" s="42">
        <f>I105*0.525</f>
        <v>1.6960125000000001</v>
      </c>
      <c r="AE105" s="727">
        <f>J105*0.525</f>
        <v>1.3568100000000003</v>
      </c>
      <c r="AF105" s="727">
        <f>G105*100/E105</f>
        <v>4.4375</v>
      </c>
      <c r="AH105" s="724"/>
      <c r="AN105" s="719">
        <v>11000</v>
      </c>
      <c r="AO105" s="719">
        <v>1800</v>
      </c>
      <c r="AP105" s="719">
        <v>60</v>
      </c>
      <c r="AQ105" s="1354">
        <v>176</v>
      </c>
      <c r="AS105" s="1354">
        <v>70</v>
      </c>
      <c r="AT105" s="1355">
        <v>120</v>
      </c>
    </row>
    <row r="106" spans="1:46" ht="7.5" customHeight="1">
      <c r="B106" s="47"/>
      <c r="C106" s="1048"/>
      <c r="D106" s="65"/>
      <c r="E106" s="43"/>
      <c r="F106" s="65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1037"/>
      <c r="U106" s="64"/>
      <c r="V106" s="64"/>
      <c r="W106" s="1038"/>
      <c r="X106" s="64"/>
      <c r="Y106" s="64"/>
      <c r="Z106" s="35"/>
      <c r="AA106" s="64"/>
      <c r="AB106" s="1047"/>
      <c r="AC106" s="159"/>
      <c r="AD106" s="43"/>
      <c r="AE106" s="726"/>
      <c r="AF106" s="726"/>
      <c r="AH106" s="724"/>
    </row>
    <row r="107" spans="1:46">
      <c r="A107" s="13" t="str">
        <f t="shared" si="83"/>
        <v>Eber (Zucht)</v>
      </c>
      <c r="B107" s="47"/>
      <c r="C107" s="1049" t="s">
        <v>834</v>
      </c>
      <c r="D107" s="43"/>
      <c r="E107" s="531"/>
      <c r="F107" s="65"/>
      <c r="G107" s="40"/>
      <c r="H107" s="40"/>
      <c r="I107" s="40"/>
      <c r="J107" s="43"/>
      <c r="K107" s="43"/>
      <c r="L107" s="43"/>
      <c r="M107" s="40"/>
      <c r="N107" s="40"/>
      <c r="O107" s="40"/>
      <c r="P107" s="40"/>
      <c r="Q107" s="40"/>
      <c r="R107" s="43"/>
      <c r="S107" s="43"/>
      <c r="T107" s="1037"/>
      <c r="U107" s="64"/>
      <c r="V107" s="64"/>
      <c r="W107" s="1038"/>
      <c r="X107" s="64"/>
      <c r="Y107" s="64"/>
      <c r="Z107" s="35"/>
      <c r="AA107" s="64"/>
      <c r="AB107" s="526"/>
      <c r="AC107" s="161"/>
      <c r="AD107" s="40"/>
      <c r="AE107" s="714"/>
      <c r="AF107" s="714"/>
      <c r="AH107" s="724"/>
    </row>
    <row r="108" spans="1:46" ht="7.5" customHeight="1">
      <c r="B108" s="47"/>
      <c r="C108" s="1049"/>
      <c r="D108" s="43"/>
      <c r="E108" s="531"/>
      <c r="F108" s="65"/>
      <c r="G108" s="40"/>
      <c r="H108" s="40"/>
      <c r="I108" s="40"/>
      <c r="J108" s="43"/>
      <c r="K108" s="43"/>
      <c r="L108" s="43"/>
      <c r="M108" s="40"/>
      <c r="N108" s="40"/>
      <c r="O108" s="40"/>
      <c r="P108" s="40"/>
      <c r="Q108" s="40"/>
      <c r="R108" s="43"/>
      <c r="S108" s="43"/>
      <c r="T108" s="1037"/>
      <c r="U108" s="64"/>
      <c r="V108" s="64"/>
      <c r="W108" s="1038"/>
      <c r="X108" s="64"/>
      <c r="Y108" s="64"/>
      <c r="Z108" s="35"/>
      <c r="AA108" s="64"/>
      <c r="AB108" s="526"/>
      <c r="AC108" s="161"/>
      <c r="AD108" s="40"/>
      <c r="AE108" s="714"/>
      <c r="AF108" s="714"/>
      <c r="AH108" s="724"/>
    </row>
    <row r="109" spans="1:46" ht="12.75" customHeight="1">
      <c r="A109" s="13" t="str">
        <f t="shared" si="83"/>
        <v>Aufzuchtphase Jungeber (Zucht)</v>
      </c>
      <c r="B109" s="47" t="str">
        <f>IF(G109=""," ",COUNTA($G$11:G98))</f>
        <v xml:space="preserve"> </v>
      </c>
      <c r="C109" s="532" t="s">
        <v>835</v>
      </c>
      <c r="D109" s="40"/>
      <c r="E109" s="63"/>
      <c r="F109" s="65"/>
      <c r="G109" s="40"/>
      <c r="H109" s="40"/>
      <c r="I109" s="43"/>
      <c r="J109" s="43"/>
      <c r="K109" s="43"/>
      <c r="L109" s="43"/>
      <c r="M109" s="40"/>
      <c r="N109" s="40"/>
      <c r="O109" s="40"/>
      <c r="P109" s="40"/>
      <c r="R109" s="40"/>
      <c r="S109" s="40"/>
      <c r="T109" s="1037"/>
      <c r="U109" s="64"/>
      <c r="V109" s="64"/>
      <c r="W109" s="1038"/>
      <c r="X109" s="51"/>
      <c r="Y109" s="51"/>
      <c r="Z109" s="24"/>
      <c r="AA109" s="51"/>
      <c r="AD109" s="40"/>
      <c r="AE109" s="714"/>
      <c r="AF109" s="714"/>
      <c r="AH109" s="724"/>
    </row>
    <row r="110" spans="1:46" ht="12.75" customHeight="1">
      <c r="A110" s="13" t="str">
        <f t="shared" si="83"/>
        <v>Jungeber 28 - 60 kg LM für 700 g TZ (Zucht)</v>
      </c>
      <c r="B110" s="47">
        <f>IF(G110=""," ",COUNTA($G$11:G109))</f>
        <v>50</v>
      </c>
      <c r="C110" s="1050" t="s">
        <v>836</v>
      </c>
      <c r="D110" s="124">
        <v>12.2</v>
      </c>
      <c r="E110" s="125">
        <f>185*D110/12.2</f>
        <v>185</v>
      </c>
      <c r="F110" s="65">
        <f>E110*0.88</f>
        <v>162.80000000000001</v>
      </c>
      <c r="G110" s="43">
        <f>H110/0.88</f>
        <v>9.773863636363636</v>
      </c>
      <c r="H110" s="40">
        <f>D110*0.705</f>
        <v>8.6009999999999991</v>
      </c>
      <c r="I110" s="40">
        <f>G110*0.7</f>
        <v>6.8417045454545447</v>
      </c>
      <c r="J110" s="43">
        <f>H110*0.56</f>
        <v>4.81656</v>
      </c>
      <c r="K110" s="43">
        <f t="shared" ref="K110:L112" si="84">G110*0.65</f>
        <v>6.3530113636363632</v>
      </c>
      <c r="L110" s="43">
        <f t="shared" si="84"/>
        <v>5.5906499999999992</v>
      </c>
      <c r="M110" s="40">
        <f t="shared" ref="M110:N112" si="85">G110*0.18</f>
        <v>1.7592954545454544</v>
      </c>
      <c r="N110" s="40">
        <f t="shared" si="85"/>
        <v>1.5481799999999999</v>
      </c>
      <c r="O110" s="40">
        <f>6.8*D110/12.2</f>
        <v>6.8</v>
      </c>
      <c r="P110" s="40">
        <f>O110/1.28</f>
        <v>5.3125</v>
      </c>
      <c r="Q110" s="40">
        <f>O110/2.33</f>
        <v>2.9184549356223175</v>
      </c>
      <c r="R110" s="43">
        <f>D110*1/12.2</f>
        <v>1</v>
      </c>
      <c r="S110" s="43">
        <f>2.35*D110/12.2</f>
        <v>2.35</v>
      </c>
      <c r="T110" s="1037">
        <v>1</v>
      </c>
      <c r="U110" s="64">
        <f>ROUND(I110/$G110,2)</f>
        <v>0.7</v>
      </c>
      <c r="V110" s="64">
        <f>ROUND(K110/$G110,2)</f>
        <v>0.65</v>
      </c>
      <c r="W110" s="1038">
        <f>ROUND(M110/$G110,2)</f>
        <v>0.18</v>
      </c>
      <c r="X110" s="51">
        <f>ROUND(G110/D110,2)</f>
        <v>0.8</v>
      </c>
      <c r="Y110" s="51">
        <f>H110/D110</f>
        <v>0.70499999999999996</v>
      </c>
      <c r="Z110" s="24">
        <f>ROUND(O110/P110,2)</f>
        <v>1.28</v>
      </c>
      <c r="AA110" s="51">
        <f>ROUND(O110/Q110,2)</f>
        <v>2.33</v>
      </c>
      <c r="AB110" s="154">
        <v>50</v>
      </c>
      <c r="AC110" s="159" t="s">
        <v>439</v>
      </c>
      <c r="AD110" s="40">
        <f t="shared" ref="AD110:AD116" si="86">I110*0.525</f>
        <v>3.5918948863636362</v>
      </c>
      <c r="AE110" s="714">
        <f t="shared" ref="AE110:AE116" si="87">J110*0.525</f>
        <v>2.5286940000000002</v>
      </c>
      <c r="AF110" s="714">
        <f t="shared" ref="AF110:AF116" si="88">G110*100/E110</f>
        <v>5.2831695331695334</v>
      </c>
      <c r="AH110" s="724"/>
      <c r="AK110" s="40">
        <v>18</v>
      </c>
      <c r="AL110" s="40">
        <v>10</v>
      </c>
      <c r="AN110" s="719">
        <v>6000</v>
      </c>
      <c r="AO110" s="719">
        <v>1500</v>
      </c>
      <c r="AP110" s="719">
        <v>60</v>
      </c>
      <c r="AS110" s="1354">
        <v>70</v>
      </c>
      <c r="AT110" s="1355">
        <v>120</v>
      </c>
    </row>
    <row r="111" spans="1:46">
      <c r="A111" s="13" t="str">
        <f t="shared" si="83"/>
        <v>Jungeber 60 - 90 kg LM für 850 g TZ (Zucht)</v>
      </c>
      <c r="B111" s="47">
        <f>IF(G111=""," ",COUNTA($G$11:G110))</f>
        <v>51</v>
      </c>
      <c r="C111" s="1050" t="s">
        <v>837</v>
      </c>
      <c r="D111" s="124">
        <v>12</v>
      </c>
      <c r="E111" s="125">
        <f>180*D111/12</f>
        <v>180</v>
      </c>
      <c r="F111" s="65">
        <f>E111*0.87</f>
        <v>156.6</v>
      </c>
      <c r="G111" s="43">
        <f>H111/0.87</f>
        <v>9.3793103448275872</v>
      </c>
      <c r="H111" s="40">
        <f>D111*0.68</f>
        <v>8.16</v>
      </c>
      <c r="I111" s="40">
        <f>G111*0.7</f>
        <v>6.565517241379311</v>
      </c>
      <c r="J111" s="43">
        <f>H111*0.56</f>
        <v>4.5696000000000003</v>
      </c>
      <c r="K111" s="43">
        <f t="shared" si="84"/>
        <v>6.0965517241379317</v>
      </c>
      <c r="L111" s="43">
        <f t="shared" si="84"/>
        <v>5.3040000000000003</v>
      </c>
      <c r="M111" s="40">
        <f t="shared" si="85"/>
        <v>1.6882758620689657</v>
      </c>
      <c r="N111" s="40">
        <f t="shared" si="85"/>
        <v>1.4687999999999999</v>
      </c>
      <c r="O111" s="40">
        <f>6.8*D111/12</f>
        <v>6.8</v>
      </c>
      <c r="P111" s="40">
        <f>O111/1.28</f>
        <v>5.3125</v>
      </c>
      <c r="Q111" s="40">
        <f>O111/2.53</f>
        <v>2.6877470355731226</v>
      </c>
      <c r="R111" s="43">
        <f>D111*1/12</f>
        <v>1</v>
      </c>
      <c r="S111" s="43">
        <f>2.2*D111/12</f>
        <v>2.2000000000000002</v>
      </c>
      <c r="T111" s="1037">
        <v>1</v>
      </c>
      <c r="U111" s="64">
        <f>ROUND(I111/$G111,2)</f>
        <v>0.7</v>
      </c>
      <c r="V111" s="64">
        <f>ROUND(K111/$G111,2)</f>
        <v>0.65</v>
      </c>
      <c r="W111" s="1038">
        <f>ROUND(M111/$G111,2)</f>
        <v>0.18</v>
      </c>
      <c r="X111" s="51">
        <f>ROUND(G111/D111,2)</f>
        <v>0.78</v>
      </c>
      <c r="Y111" s="51">
        <f>H111/D111</f>
        <v>0.68</v>
      </c>
      <c r="Z111" s="51">
        <f>ROUND(O111/P111,2)</f>
        <v>1.28</v>
      </c>
      <c r="AA111" s="51">
        <f>ROUND(O111/Q111,2)</f>
        <v>2.5299999999999998</v>
      </c>
      <c r="AB111" s="154">
        <v>60</v>
      </c>
      <c r="AC111" s="159" t="s">
        <v>439</v>
      </c>
      <c r="AD111" s="40">
        <f t="shared" si="86"/>
        <v>3.4468965517241386</v>
      </c>
      <c r="AE111" s="714">
        <f t="shared" si="87"/>
        <v>2.3990400000000003</v>
      </c>
      <c r="AF111" s="714">
        <f t="shared" si="88"/>
        <v>5.2107279693486594</v>
      </c>
      <c r="AH111" s="724"/>
      <c r="AK111" s="40">
        <v>18</v>
      </c>
      <c r="AL111" s="40">
        <v>10</v>
      </c>
      <c r="AN111" s="719">
        <v>6000</v>
      </c>
      <c r="AO111" s="719">
        <v>1500</v>
      </c>
      <c r="AP111" s="719">
        <v>60</v>
      </c>
      <c r="AS111" s="1354">
        <v>70</v>
      </c>
      <c r="AT111" s="1355">
        <v>120</v>
      </c>
    </row>
    <row r="112" spans="1:46">
      <c r="A112" s="13" t="str">
        <f t="shared" si="83"/>
        <v>Jungeber 90 - 120 kg LM für 750 g TZ (Zucht)</v>
      </c>
      <c r="B112" s="47">
        <f>IF(G112=""," ",COUNTA($G$11:G111))</f>
        <v>52</v>
      </c>
      <c r="C112" s="1050" t="s">
        <v>838</v>
      </c>
      <c r="D112" s="124">
        <v>11.6</v>
      </c>
      <c r="E112" s="125">
        <f>175*D112/11.6</f>
        <v>175</v>
      </c>
      <c r="F112" s="65">
        <f>E112*0.85</f>
        <v>148.75</v>
      </c>
      <c r="G112" s="43">
        <f>H112/0.85</f>
        <v>8.8432941176470585</v>
      </c>
      <c r="H112" s="40">
        <f>D112*0.648</f>
        <v>7.5167999999999999</v>
      </c>
      <c r="I112" s="40">
        <f>G112*0.7</f>
        <v>6.1903058823529404</v>
      </c>
      <c r="J112" s="43">
        <f>H112*0.56</f>
        <v>4.2094080000000007</v>
      </c>
      <c r="K112" s="43">
        <f t="shared" si="84"/>
        <v>5.7481411764705879</v>
      </c>
      <c r="L112" s="43">
        <f t="shared" si="84"/>
        <v>4.8859200000000005</v>
      </c>
      <c r="M112" s="40">
        <f t="shared" si="85"/>
        <v>1.5917929411764704</v>
      </c>
      <c r="N112" s="40">
        <f t="shared" si="85"/>
        <v>1.353024</v>
      </c>
      <c r="O112" s="40">
        <f>6*D112/11.6</f>
        <v>6</v>
      </c>
      <c r="P112" s="40">
        <f>O112/1.27</f>
        <v>4.7244094488188972</v>
      </c>
      <c r="Q112" s="40">
        <f>O112/2.7</f>
        <v>2.2222222222222219</v>
      </c>
      <c r="R112" s="43">
        <f>D112*1/11.6</f>
        <v>1</v>
      </c>
      <c r="S112" s="43">
        <f>2.1*D112/11.6</f>
        <v>2.1</v>
      </c>
      <c r="T112" s="1037">
        <v>1</v>
      </c>
      <c r="U112" s="64">
        <f>ROUND(I112/$G112,2)</f>
        <v>0.7</v>
      </c>
      <c r="V112" s="64">
        <f>ROUND(K112/$G112,2)</f>
        <v>0.65</v>
      </c>
      <c r="W112" s="1038">
        <f>ROUND(M112/$G112,2)</f>
        <v>0.18</v>
      </c>
      <c r="X112" s="51">
        <f>ROUND(G112/D112,2)</f>
        <v>0.76</v>
      </c>
      <c r="Y112" s="51">
        <f>H112/D112</f>
        <v>0.64800000000000002</v>
      </c>
      <c r="Z112" s="24">
        <f>ROUND(O112/P112,2)</f>
        <v>1.27</v>
      </c>
      <c r="AA112" s="51">
        <f>ROUND(O112/Q112,2)</f>
        <v>2.7</v>
      </c>
      <c r="AB112" s="153">
        <v>70</v>
      </c>
      <c r="AC112" s="159" t="s">
        <v>439</v>
      </c>
      <c r="AD112" s="40">
        <f t="shared" si="86"/>
        <v>3.2499105882352937</v>
      </c>
      <c r="AE112" s="714">
        <f t="shared" si="87"/>
        <v>2.2099392000000004</v>
      </c>
      <c r="AF112" s="714">
        <f t="shared" si="88"/>
        <v>5.0533109243697476</v>
      </c>
      <c r="AH112" s="724"/>
      <c r="AK112" s="40">
        <v>18</v>
      </c>
      <c r="AL112" s="40">
        <v>10</v>
      </c>
      <c r="AN112" s="719">
        <v>6000</v>
      </c>
      <c r="AO112" s="719">
        <v>1500</v>
      </c>
      <c r="AP112" s="719">
        <v>60</v>
      </c>
      <c r="AS112" s="1354">
        <v>70</v>
      </c>
      <c r="AT112" s="1355">
        <v>160</v>
      </c>
    </row>
    <row r="113" spans="1:46" ht="7.5" customHeight="1">
      <c r="B113" s="47"/>
      <c r="C113" s="45"/>
      <c r="D113" s="65"/>
      <c r="E113" s="43"/>
      <c r="F113" s="65"/>
      <c r="G113" s="43"/>
      <c r="H113" s="40"/>
      <c r="I113" s="40"/>
      <c r="J113" s="43"/>
      <c r="K113" s="43"/>
      <c r="L113" s="43"/>
      <c r="M113" s="40"/>
      <c r="N113" s="40"/>
      <c r="O113" s="40"/>
      <c r="P113" s="40"/>
      <c r="Q113" s="40"/>
      <c r="R113" s="43"/>
      <c r="S113" s="43"/>
      <c r="T113" s="1037"/>
      <c r="U113" s="64"/>
      <c r="V113" s="64"/>
      <c r="W113" s="1038"/>
      <c r="X113" s="51"/>
      <c r="Y113" s="51"/>
      <c r="Z113" s="24"/>
      <c r="AA113" s="51"/>
      <c r="AB113" s="1047"/>
      <c r="AC113" s="159"/>
      <c r="AD113" s="40"/>
      <c r="AE113" s="714"/>
      <c r="AF113" s="714"/>
      <c r="AH113" s="724"/>
    </row>
    <row r="114" spans="1:46" ht="12.75" customHeight="1">
      <c r="A114" s="13" t="str">
        <f t="shared" si="83"/>
        <v>Zuchteber</v>
      </c>
      <c r="B114" s="47" t="str">
        <f>IF(G114=""," ",COUNTA($G$11:G112))</f>
        <v xml:space="preserve"> </v>
      </c>
      <c r="C114" s="532" t="s">
        <v>577</v>
      </c>
      <c r="D114" s="530"/>
      <c r="E114" s="712"/>
      <c r="F114" s="65"/>
      <c r="G114" s="40"/>
      <c r="H114" s="40"/>
      <c r="I114" s="40"/>
      <c r="J114" s="43"/>
      <c r="K114" s="43"/>
      <c r="L114" s="43"/>
      <c r="M114" s="40"/>
      <c r="N114" s="40"/>
      <c r="O114" s="40"/>
      <c r="P114" s="40"/>
      <c r="Q114" s="40"/>
      <c r="R114" s="43"/>
      <c r="S114" s="43"/>
      <c r="T114" s="1037"/>
      <c r="U114" s="64"/>
      <c r="V114" s="64"/>
      <c r="W114" s="1038"/>
      <c r="X114" s="51"/>
      <c r="Y114" s="51"/>
      <c r="Z114" s="24"/>
      <c r="AA114" s="51"/>
      <c r="AD114" s="40"/>
      <c r="AE114" s="714"/>
      <c r="AF114" s="714"/>
      <c r="AH114" s="724"/>
    </row>
    <row r="115" spans="1:46">
      <c r="A115" s="13" t="str">
        <f t="shared" si="83"/>
        <v>Zuchteber 120 - 180 kg LM für 400 g TZ</v>
      </c>
      <c r="B115" s="47">
        <f>IF(G115=""," ",COUNTA($G$11:G114))</f>
        <v>53</v>
      </c>
      <c r="C115" s="45" t="s">
        <v>596</v>
      </c>
      <c r="D115" s="124">
        <v>11.6</v>
      </c>
      <c r="E115" s="125">
        <f>160*D115/11.6</f>
        <v>160</v>
      </c>
      <c r="F115" s="65">
        <f>E115*0.85</f>
        <v>136</v>
      </c>
      <c r="G115" s="43">
        <f>H115/0.85</f>
        <v>8.1882352941176464</v>
      </c>
      <c r="H115" s="40">
        <f>D115*0.6</f>
        <v>6.96</v>
      </c>
      <c r="I115" s="40">
        <f>G115*0.7</f>
        <v>5.7317647058823518</v>
      </c>
      <c r="J115" s="43">
        <f>H115*0.56</f>
        <v>3.8976000000000002</v>
      </c>
      <c r="K115" s="43">
        <f>G115*0.65</f>
        <v>5.3223529411764705</v>
      </c>
      <c r="L115" s="43">
        <f>H115*0.65</f>
        <v>4.524</v>
      </c>
      <c r="M115" s="40">
        <f>G115*0.18</f>
        <v>1.4738823529411762</v>
      </c>
      <c r="N115" s="40">
        <f>H115*0.18</f>
        <v>1.2527999999999999</v>
      </c>
      <c r="O115" s="40">
        <f>7.2*D115/11.6</f>
        <v>7.2</v>
      </c>
      <c r="P115" s="40">
        <f>O115/1.27</f>
        <v>5.6692913385826769</v>
      </c>
      <c r="Q115" s="40">
        <f>O115/2.75</f>
        <v>2.6181818181818182</v>
      </c>
      <c r="R115" s="43">
        <f>D115*1/11.6</f>
        <v>1</v>
      </c>
      <c r="S115" s="43">
        <f>1.9*D115/11.6</f>
        <v>1.9</v>
      </c>
      <c r="T115" s="1037">
        <v>1</v>
      </c>
      <c r="U115" s="64">
        <f>ROUND(I115/$G115,2)</f>
        <v>0.7</v>
      </c>
      <c r="V115" s="64">
        <f>ROUND(K115/$G115,2)</f>
        <v>0.65</v>
      </c>
      <c r="W115" s="1038">
        <f>ROUND(M115/$G115,2)</f>
        <v>0.18</v>
      </c>
      <c r="X115" s="51">
        <f>ROUND(G115/D115,2)</f>
        <v>0.71</v>
      </c>
      <c r="Y115" s="51">
        <f>H115/D115</f>
        <v>0.6</v>
      </c>
      <c r="Z115" s="51">
        <f>ROUND(O115/P115,2)</f>
        <v>1.27</v>
      </c>
      <c r="AA115" s="51">
        <f>ROUND(O115/Q115,2)</f>
        <v>2.75</v>
      </c>
      <c r="AB115" s="153">
        <v>80</v>
      </c>
      <c r="AC115" s="50" t="s">
        <v>599</v>
      </c>
      <c r="AD115" s="40">
        <f t="shared" si="86"/>
        <v>3.0091764705882347</v>
      </c>
      <c r="AE115" s="714">
        <f t="shared" si="87"/>
        <v>2.0462400000000001</v>
      </c>
      <c r="AF115" s="714">
        <f t="shared" si="88"/>
        <v>5.117647058823529</v>
      </c>
      <c r="AH115" s="724"/>
      <c r="AK115" s="40">
        <v>18</v>
      </c>
      <c r="AL115" s="40">
        <v>10</v>
      </c>
      <c r="AN115" s="719">
        <v>15000</v>
      </c>
      <c r="AO115" s="719">
        <v>1500</v>
      </c>
      <c r="AP115" s="719">
        <v>60</v>
      </c>
      <c r="AS115" s="1354">
        <v>80</v>
      </c>
      <c r="AT115" s="1355">
        <v>200</v>
      </c>
    </row>
    <row r="116" spans="1:46" ht="13" thickBot="1">
      <c r="A116" s="13" t="str">
        <f t="shared" si="83"/>
        <v>Zuchteber über 180 kg LM für 200 g TZ</v>
      </c>
      <c r="B116" s="47">
        <f>IF(G116=""," ",COUNTA($G$11:G115))</f>
        <v>54</v>
      </c>
      <c r="C116" s="1044" t="s">
        <v>597</v>
      </c>
      <c r="D116" s="1043">
        <v>11.4</v>
      </c>
      <c r="E116" s="1045">
        <f>150*D116/11.4</f>
        <v>150</v>
      </c>
      <c r="F116" s="66">
        <f>E116*0.85</f>
        <v>127.5</v>
      </c>
      <c r="G116" s="42">
        <f>H116/0.85</f>
        <v>7.1752941176470593</v>
      </c>
      <c r="H116" s="42">
        <f>D116*0.535</f>
        <v>6.0990000000000002</v>
      </c>
      <c r="I116" s="42">
        <f>G116*0.7</f>
        <v>5.0227058823529411</v>
      </c>
      <c r="J116" s="42">
        <f>H116*0.56</f>
        <v>3.4154400000000003</v>
      </c>
      <c r="K116" s="42">
        <f>G116*0.65</f>
        <v>4.6639411764705887</v>
      </c>
      <c r="L116" s="42">
        <f>H116*0.65</f>
        <v>3.9643500000000005</v>
      </c>
      <c r="M116" s="42">
        <f>G116*0.18</f>
        <v>1.2915529411764706</v>
      </c>
      <c r="N116" s="42">
        <f>H116*0.18</f>
        <v>1.09782</v>
      </c>
      <c r="O116" s="42">
        <f>7*D116/11.4</f>
        <v>6.9999999999999991</v>
      </c>
      <c r="P116" s="42">
        <f>O116/1.27</f>
        <v>5.5118110236220463</v>
      </c>
      <c r="Q116" s="42">
        <f>O116/2.75</f>
        <v>2.545454545454545</v>
      </c>
      <c r="R116" s="42">
        <f>D116*1/11.4</f>
        <v>1</v>
      </c>
      <c r="S116" s="42">
        <f>1.9*D116/11.4</f>
        <v>1.9</v>
      </c>
      <c r="T116" s="1039">
        <v>1</v>
      </c>
      <c r="U116" s="52">
        <f>ROUND(I116/$G116,2)</f>
        <v>0.7</v>
      </c>
      <c r="V116" s="52">
        <f>ROUND(K116/$G116,2)</f>
        <v>0.65</v>
      </c>
      <c r="W116" s="1040">
        <f>ROUND(M116/$G116,2)</f>
        <v>0.18</v>
      </c>
      <c r="X116" s="52">
        <f>ROUND(G116/D116,2)</f>
        <v>0.63</v>
      </c>
      <c r="Y116" s="52">
        <f>H116/D116</f>
        <v>0.53500000000000003</v>
      </c>
      <c r="Z116" s="52">
        <f>ROUND(O116/P116,2)</f>
        <v>1.27</v>
      </c>
      <c r="AA116" s="52">
        <f>ROUND(O116/Q116,2)</f>
        <v>2.75</v>
      </c>
      <c r="AB116" s="155">
        <v>80</v>
      </c>
      <c r="AC116" s="158" t="s">
        <v>599</v>
      </c>
      <c r="AD116" s="42">
        <f t="shared" si="86"/>
        <v>2.6369205882352942</v>
      </c>
      <c r="AE116" s="727">
        <f t="shared" si="87"/>
        <v>1.7931060000000003</v>
      </c>
      <c r="AF116" s="727">
        <f t="shared" si="88"/>
        <v>4.7835294117647065</v>
      </c>
      <c r="AH116" s="724"/>
      <c r="AK116" s="40">
        <v>18</v>
      </c>
      <c r="AL116" s="40">
        <v>10</v>
      </c>
      <c r="AN116" s="719">
        <v>15000</v>
      </c>
      <c r="AO116" s="719">
        <v>1500</v>
      </c>
      <c r="AP116" s="719">
        <v>60</v>
      </c>
      <c r="AS116" s="1354">
        <v>80</v>
      </c>
      <c r="AT116" s="1355">
        <v>200</v>
      </c>
    </row>
    <row r="117" spans="1:46" ht="7.5" customHeight="1">
      <c r="A117" s="13" t="str">
        <f t="shared" si="83"/>
        <v/>
      </c>
      <c r="C117" s="34"/>
      <c r="D117" s="35"/>
      <c r="E117" s="65"/>
      <c r="F117" s="6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64"/>
      <c r="V117" s="64"/>
      <c r="W117" s="35"/>
      <c r="X117" s="34"/>
      <c r="Y117" s="34"/>
      <c r="Z117" s="34"/>
      <c r="AA117" s="34"/>
      <c r="AB117" s="35"/>
      <c r="AC117" s="159"/>
      <c r="AH117" s="724"/>
    </row>
    <row r="118" spans="1:46">
      <c r="B118" s="31" t="s">
        <v>352</v>
      </c>
      <c r="C118" s="13" t="s">
        <v>353</v>
      </c>
    </row>
    <row r="119" spans="1:46">
      <c r="B119" s="31" t="s">
        <v>354</v>
      </c>
      <c r="C119" s="13" t="s">
        <v>442</v>
      </c>
    </row>
    <row r="120" spans="1:46">
      <c r="B120" s="31" t="s">
        <v>96</v>
      </c>
      <c r="C120" s="13" t="s">
        <v>431</v>
      </c>
    </row>
    <row r="121" spans="1:46">
      <c r="B121" s="31" t="s">
        <v>87</v>
      </c>
      <c r="C121" s="13" t="s">
        <v>441</v>
      </c>
    </row>
  </sheetData>
  <sheetProtection sheet="1" objects="1" scenarios="1" selectLockedCells="1"/>
  <customSheetViews>
    <customSheetView guid="{459F3284-99E1-4A46-80B6-CF44B0CB392E}" fitToPage="1" hiddenColumns="1">
      <pane xSplit="3" ySplit="8" topLeftCell="D9" activePane="bottomRight" state="frozenSplit"/>
      <selection pane="bottomRight" activeCell="D11" sqref="D11"/>
      <printOptions horizontalCentered="1" verticalCentered="1"/>
      <pageSetup paperSize="9" scale="53" orientation="landscape"/>
      <headerFooter alignWithMargins="0"/>
    </customSheetView>
  </customSheetViews>
  <mergeCells count="8">
    <mergeCell ref="AC4:AF4"/>
    <mergeCell ref="B7:AF7"/>
    <mergeCell ref="AR8:AR10"/>
    <mergeCell ref="AF10:AF11"/>
    <mergeCell ref="AC9:AC10"/>
    <mergeCell ref="B8:AF8"/>
    <mergeCell ref="T9:W9"/>
    <mergeCell ref="AN9:AP9"/>
  </mergeCells>
  <phoneticPr fontId="2" type="noConversion"/>
  <printOptions horizontalCentered="1" verticalCentered="1"/>
  <pageMargins left="0.25" right="0.25" top="0.75" bottom="0.75" header="0.3" footer="0.3"/>
  <pageSetup paperSize="9" scale="55" fitToHeight="2" orientation="landscape" horizontalDpi="4294967293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92" r:id="rId3" name="Button 120">
              <controlPr defaultSize="0" print="0" autoFill="0" autoPict="0" macro="[0]!Startseite">
                <anchor moveWithCells="1">
                  <from>
                    <xdr:col>2</xdr:col>
                    <xdr:colOff>520700</xdr:colOff>
                    <xdr:row>1</xdr:row>
                    <xdr:rowOff>12700</xdr:rowOff>
                  </from>
                  <to>
                    <xdr:col>2</xdr:col>
                    <xdr:colOff>2235200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93" r:id="rId4" name="Button 121">
              <controlPr defaultSize="0" print="0" autoFill="0" autoPict="0" macro="[0]!Futterberechnung">
                <anchor moveWithCells="1">
                  <from>
                    <xdr:col>3</xdr:col>
                    <xdr:colOff>25400</xdr:colOff>
                    <xdr:row>1</xdr:row>
                    <xdr:rowOff>12700</xdr:rowOff>
                  </from>
                  <to>
                    <xdr:col>7</xdr:col>
                    <xdr:colOff>215900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94" r:id="rId5" name="Button 122">
              <controlPr defaultSize="0" print="0" autoFill="0" autoPict="0" macro="[0]!FuMi_Liste">
                <anchor moveWithCells="1">
                  <from>
                    <xdr:col>9</xdr:col>
                    <xdr:colOff>355600</xdr:colOff>
                    <xdr:row>1</xdr:row>
                    <xdr:rowOff>12700</xdr:rowOff>
                  </from>
                  <to>
                    <xdr:col>14</xdr:col>
                    <xdr:colOff>152400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95" r:id="rId6" name="Button 123">
              <controlPr defaultSize="0" print="0" autoFill="0" autoPict="0" macro="[0]!Futterkurve_Mast">
                <anchor moveWithCells="1">
                  <from>
                    <xdr:col>16</xdr:col>
                    <xdr:colOff>228600</xdr:colOff>
                    <xdr:row>1</xdr:row>
                    <xdr:rowOff>12700</xdr:rowOff>
                  </from>
                  <to>
                    <xdr:col>21</xdr:col>
                    <xdr:colOff>25400</xdr:colOff>
                    <xdr:row>1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Startseite</vt:lpstr>
      <vt:lpstr>Anleitung</vt:lpstr>
      <vt:lpstr>Ausdruck</vt:lpstr>
      <vt:lpstr>Futterberechnung</vt:lpstr>
      <vt:lpstr>Futtermittel</vt:lpstr>
      <vt:lpstr>Preiswürdigkeit FUMI</vt:lpstr>
      <vt:lpstr>Ergänzungsfutter</vt:lpstr>
      <vt:lpstr>Mineralfutter</vt:lpstr>
      <vt:lpstr>Orientierungswerte</vt:lpstr>
      <vt:lpstr>Höchstgehalte</vt:lpstr>
      <vt:lpstr>Futterkurve Mast</vt:lpstr>
      <vt:lpstr>Futterkurve Sauen</vt:lpstr>
      <vt:lpstr>Futterkurve Ferkel</vt:lpstr>
      <vt:lpstr>Futterkurve Jungsauen</vt:lpstr>
      <vt:lpstr>Futterkurve Eber</vt:lpstr>
      <vt:lpstr>Vit. &amp; Spurenel.</vt:lpstr>
      <vt:lpstr>XP u. ME-Rechner Min.fu.</vt:lpstr>
      <vt:lpstr>D</vt:lpstr>
    </vt:vector>
  </TitlesOfParts>
  <Company>LLH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Futterberechnungsprogramm für Schweine nach den Versorgungsempfehlungen der GfE 2006 und der DLG 2008</dc:title>
  <dc:creator>Kajo Hollmichel</dc:creator>
  <cp:keywords>Futterberechnungsprogramm für Schweine nach den Versorgungsempfehlungen der GfE 2006 und der DLG 2008</cp:keywords>
  <dc:description>kajo.hollmichel@llh.hessen.de</dc:description>
  <cp:lastModifiedBy>Red Top</cp:lastModifiedBy>
  <cp:lastPrinted>2016-03-18T13:11:19Z</cp:lastPrinted>
  <dcterms:created xsi:type="dcterms:W3CDTF">2007-01-18T14:05:56Z</dcterms:created>
  <dcterms:modified xsi:type="dcterms:W3CDTF">2016-11-07T07:25:04Z</dcterms:modified>
</cp:coreProperties>
</file>